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dRichValueTypes.xml" ContentType="application/vnd.ms-excel.rdrichvaluetypes+xml"/>
  <Override PartName="/xl/richData/rdrichvaluestructure.xml" ContentType="application/vnd.ms-excel.rdrichvaluestructure+xml"/>
  <Override PartName="/xl/richData/rdrichvalue.xml" ContentType="application/vnd.ms-excel.rdrichvalu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hidePivotFieldList="1" defaultThemeVersion="124226"/>
  <mc:AlternateContent xmlns:mc="http://schemas.openxmlformats.org/markup-compatibility/2006">
    <mc:Choice Requires="x15">
      <x15ac:absPath xmlns:x15ac="http://schemas.microsoft.com/office/spreadsheetml/2010/11/ac" url="X:\DOCUMENTOS PARA AUDITORIA\"/>
    </mc:Choice>
  </mc:AlternateContent>
  <xr:revisionPtr revIDLastSave="0" documentId="13_ncr:1_{4D5E6051-6896-4DD3-AB95-82B3DB392ED5}" xr6:coauthVersionLast="47" xr6:coauthVersionMax="47" xr10:uidLastSave="{00000000-0000-0000-0000-000000000000}"/>
  <bookViews>
    <workbookView xWindow="-120" yWindow="-120" windowWidth="20730" windowHeight="11040" tabRatio="850" firstSheet="1" activeTab="2" xr2:uid="{00000000-000D-0000-FFFF-FFFF00000000}"/>
  </bookViews>
  <sheets>
    <sheet name="Hoja2" sheetId="24" r:id="rId1"/>
    <sheet name="Intructivo" sheetId="20" r:id="rId2"/>
    <sheet name="Mapa final" sheetId="1" r:id="rId3"/>
    <sheet name="Hoja4" sheetId="23" state="hidden" r:id="rId4"/>
    <sheet name="Clasificacion riesgo" sheetId="21" r:id="rId5"/>
    <sheet name="Matriz Calor Inherente" sheetId="18" r:id="rId6"/>
    <sheet name="Matriz Calor Residual" sheetId="19" r:id="rId7"/>
    <sheet name="Tabla probabilidad" sheetId="12" r:id="rId8"/>
    <sheet name="Tabla Impacto" sheetId="13" r:id="rId9"/>
    <sheet name="Tabla Valoración controles" sheetId="15" r:id="rId10"/>
    <sheet name="Mapa final (3)" sheetId="26" state="hidden" r:id="rId11"/>
    <sheet name="Mapa final (2)" sheetId="25" state="hidden" r:id="rId12"/>
    <sheet name="Opciones Tratamiento" sheetId="16" state="hidden" r:id="rId13"/>
    <sheet name="Hoja1" sheetId="11" state="hidden"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xlnm._FilterDatabase" localSheetId="2" hidden="1">'Mapa final'!$A$1:$AV$96</definedName>
    <definedName name="_xlnm._FilterDatabase" localSheetId="11" hidden="1">'Mapa final (2)'!$A$1:$AV$30</definedName>
    <definedName name="_xlnm._FilterDatabase" localSheetId="10" hidden="1">'Mapa final (3)'!$A$1:$AV$15</definedName>
    <definedName name="_xlnm.Print_Area" localSheetId="2">'Mapa final'!$A$1:$AV$98</definedName>
    <definedName name="_xlnm.Print_Area" localSheetId="11">'Mapa final (2)'!$A$1:$AV$32</definedName>
    <definedName name="_xlnm.Print_Area" localSheetId="10">'Mapa final (3)'!$A$1:$AV$17</definedName>
    <definedName name="_xlnm.Print_Titles" localSheetId="2">'Mapa final'!$1:$8</definedName>
    <definedName name="_xlnm.Print_Titles" localSheetId="11">'Mapa final (2)'!$1:$8</definedName>
    <definedName name="_xlnm.Print_Titles" localSheetId="10">'Mapa final (3)'!$1:$8</definedName>
  </definedNames>
  <calcPr calcId="191029"/>
  <pivotCaches>
    <pivotCache cacheId="0" r:id="rId25"/>
  </pivotCaches>
</workbook>
</file>

<file path=xl/calcChain.xml><?xml version="1.0" encoding="utf-8"?>
<calcChain xmlns="http://schemas.openxmlformats.org/spreadsheetml/2006/main">
  <c r="X14" i="26" l="1"/>
  <c r="X13" i="26"/>
  <c r="U13" i="26"/>
  <c r="O13" i="26"/>
  <c r="P13" i="26" s="1"/>
  <c r="Q13" i="26" s="1"/>
  <c r="AF14" i="26" s="1"/>
  <c r="AE14" i="26" s="1"/>
  <c r="L13" i="26"/>
  <c r="M13" i="26" s="1"/>
  <c r="X12" i="26"/>
  <c r="X11" i="26"/>
  <c r="O11" i="26"/>
  <c r="P11" i="26" s="1"/>
  <c r="L11" i="26"/>
  <c r="M11" i="26" s="1"/>
  <c r="AB11" i="26" s="1"/>
  <c r="X10" i="26"/>
  <c r="X9" i="26"/>
  <c r="U9" i="26"/>
  <c r="O9" i="26"/>
  <c r="P9" i="26" s="1"/>
  <c r="Q9" i="26" s="1"/>
  <c r="L9" i="26"/>
  <c r="M9" i="26" s="1"/>
  <c r="X85" i="1"/>
  <c r="X84" i="1"/>
  <c r="U84" i="1"/>
  <c r="X83" i="1"/>
  <c r="X82" i="1"/>
  <c r="AF10" i="26" l="1"/>
  <c r="AE10" i="26" s="1"/>
  <c r="AF9" i="26"/>
  <c r="AE9" i="26" s="1"/>
  <c r="R13" i="26"/>
  <c r="AB12" i="26"/>
  <c r="AC11" i="26"/>
  <c r="AD11" i="26"/>
  <c r="AB13" i="26"/>
  <c r="AF13" i="26"/>
  <c r="AE13" i="26" s="1"/>
  <c r="AB9" i="26"/>
  <c r="R11" i="26"/>
  <c r="Q11" i="26"/>
  <c r="R9" i="26"/>
  <c r="X29" i="25"/>
  <c r="X28" i="25"/>
  <c r="O28" i="25"/>
  <c r="P28" i="25" s="1"/>
  <c r="Q28" i="25" s="1"/>
  <c r="AF29" i="25" s="1"/>
  <c r="AE29" i="25" s="1"/>
  <c r="L28" i="25"/>
  <c r="M28" i="25" s="1"/>
  <c r="X27" i="25"/>
  <c r="X26" i="25"/>
  <c r="O26" i="25"/>
  <c r="P26" i="25" s="1"/>
  <c r="L26" i="25"/>
  <c r="M26" i="25" s="1"/>
  <c r="AB26" i="25" s="1"/>
  <c r="X25" i="25"/>
  <c r="N25" i="25"/>
  <c r="O25" i="25" s="1"/>
  <c r="P25" i="25" s="1"/>
  <c r="Q25" i="25" s="1"/>
  <c r="AF25" i="25" s="1"/>
  <c r="AE25" i="25" s="1"/>
  <c r="L25" i="25"/>
  <c r="X24" i="25"/>
  <c r="N24" i="25"/>
  <c r="O24" i="25" s="1"/>
  <c r="P24" i="25" s="1"/>
  <c r="L24" i="25"/>
  <c r="M24" i="25" s="1"/>
  <c r="AB24" i="25" s="1"/>
  <c r="X23" i="25"/>
  <c r="X22" i="25"/>
  <c r="X21" i="25"/>
  <c r="O21" i="25"/>
  <c r="P21" i="25" s="1"/>
  <c r="Q21" i="25" s="1"/>
  <c r="L21" i="25"/>
  <c r="X20" i="25"/>
  <c r="X19" i="25"/>
  <c r="O19" i="25"/>
  <c r="P19" i="25" s="1"/>
  <c r="M19" i="25"/>
  <c r="L19" i="25"/>
  <c r="X18" i="25"/>
  <c r="X17" i="25"/>
  <c r="X16" i="25"/>
  <c r="Q16" i="25"/>
  <c r="AF17" i="25" s="1"/>
  <c r="AE17" i="25" s="1"/>
  <c r="O16" i="25"/>
  <c r="K16" i="25"/>
  <c r="L16" i="25" s="1"/>
  <c r="M16" i="25" s="1"/>
  <c r="AB16" i="25" s="1"/>
  <c r="X15" i="25"/>
  <c r="X14" i="25"/>
  <c r="X13" i="25"/>
  <c r="Q13" i="25"/>
  <c r="AF15" i="25" s="1"/>
  <c r="AE15" i="25" s="1"/>
  <c r="O13" i="25"/>
  <c r="L13" i="25"/>
  <c r="M13" i="25" s="1"/>
  <c r="X12" i="25"/>
  <c r="U12" i="25"/>
  <c r="X11" i="25"/>
  <c r="U11" i="25"/>
  <c r="O11" i="25"/>
  <c r="P11" i="25" s="1"/>
  <c r="Q11" i="25" s="1"/>
  <c r="L11" i="25"/>
  <c r="X10" i="25"/>
  <c r="X9" i="25"/>
  <c r="O9" i="25"/>
  <c r="P9" i="25" s="1"/>
  <c r="Q9" i="25" s="1"/>
  <c r="K9" i="25"/>
  <c r="L9" i="25" s="1"/>
  <c r="AD13" i="26" l="1"/>
  <c r="AC13" i="26"/>
  <c r="AG13" i="26" s="1"/>
  <c r="AB14" i="26"/>
  <c r="AF11" i="26"/>
  <c r="AE11" i="26" s="1"/>
  <c r="AG11" i="26" s="1"/>
  <c r="AF12" i="26"/>
  <c r="AE12" i="26" s="1"/>
  <c r="AD12" i="26"/>
  <c r="AC12" i="26"/>
  <c r="AD9" i="26"/>
  <c r="AC9" i="26"/>
  <c r="AG9" i="26" s="1"/>
  <c r="AB10" i="26"/>
  <c r="AF13" i="25"/>
  <c r="AE13" i="25" s="1"/>
  <c r="AF16" i="25"/>
  <c r="AE16" i="25" s="1"/>
  <c r="AB28" i="25"/>
  <c r="AB13" i="25"/>
  <c r="AC13" i="25" s="1"/>
  <c r="AG13" i="25" s="1"/>
  <c r="AF18" i="25"/>
  <c r="AE18" i="25" s="1"/>
  <c r="AD13" i="25"/>
  <c r="AB25" i="25"/>
  <c r="AC24" i="25"/>
  <c r="AD24" i="25"/>
  <c r="R16" i="25"/>
  <c r="AB19" i="25"/>
  <c r="R13" i="25"/>
  <c r="AF14" i="25"/>
  <c r="AE14" i="25" s="1"/>
  <c r="R19" i="25"/>
  <c r="R11" i="25"/>
  <c r="Q26" i="25"/>
  <c r="R26" i="25"/>
  <c r="Q19" i="25"/>
  <c r="AF19" i="25" s="1"/>
  <c r="AE19" i="25" s="1"/>
  <c r="AF11" i="25"/>
  <c r="AE11" i="25" s="1"/>
  <c r="AF12" i="25"/>
  <c r="AE12" i="25" s="1"/>
  <c r="AF10" i="25"/>
  <c r="AE10" i="25" s="1"/>
  <c r="AF9" i="25"/>
  <c r="AE9" i="25" s="1"/>
  <c r="R21" i="25"/>
  <c r="M21" i="25"/>
  <c r="AB21" i="25" s="1"/>
  <c r="AF21" i="25"/>
  <c r="AE21" i="25" s="1"/>
  <c r="AF22" i="25"/>
  <c r="AE22" i="25" s="1"/>
  <c r="AF23" i="25"/>
  <c r="AE23" i="25" s="1"/>
  <c r="R24" i="25"/>
  <c r="Q24" i="25"/>
  <c r="AF24" i="25" s="1"/>
  <c r="AE24" i="25" s="1"/>
  <c r="AG24" i="25" s="1"/>
  <c r="AC28" i="25"/>
  <c r="AB29" i="25"/>
  <c r="AD28" i="25"/>
  <c r="AB17" i="25"/>
  <c r="AD16" i="25"/>
  <c r="AC16" i="25"/>
  <c r="AG16" i="25" s="1"/>
  <c r="R9" i="25"/>
  <c r="M9" i="25"/>
  <c r="AB9" i="25" s="1"/>
  <c r="R25" i="25"/>
  <c r="M25" i="25"/>
  <c r="AC26" i="25"/>
  <c r="AB27" i="25"/>
  <c r="AD26" i="25"/>
  <c r="AB14" i="25"/>
  <c r="M11" i="25"/>
  <c r="AB11" i="25" s="1"/>
  <c r="AF28" i="25"/>
  <c r="AE28" i="25" s="1"/>
  <c r="AB20" i="25"/>
  <c r="R28" i="25"/>
  <c r="N72" i="1"/>
  <c r="N70" i="1"/>
  <c r="N66" i="1"/>
  <c r="N55" i="1"/>
  <c r="N54" i="1"/>
  <c r="N37" i="1"/>
  <c r="N33" i="1"/>
  <c r="N29" i="1"/>
  <c r="O27" i="1"/>
  <c r="P27" i="1" s="1"/>
  <c r="N27" i="1"/>
  <c r="N16" i="1"/>
  <c r="O16" i="1" s="1"/>
  <c r="P16" i="1" s="1"/>
  <c r="N14" i="1"/>
  <c r="O14" i="1" s="1"/>
  <c r="P14" i="1" s="1"/>
  <c r="N11" i="1"/>
  <c r="O11" i="1" s="1"/>
  <c r="P11" i="1" s="1"/>
  <c r="AD14" i="26" l="1"/>
  <c r="AC14" i="26"/>
  <c r="AG14" i="26" s="1"/>
  <c r="AD10" i="26"/>
  <c r="AC10" i="26"/>
  <c r="AG10" i="26" s="1"/>
  <c r="AG12" i="26"/>
  <c r="AF20" i="25"/>
  <c r="AE20" i="25" s="1"/>
  <c r="AC19" i="25"/>
  <c r="AG19" i="25" s="1"/>
  <c r="AD19" i="25"/>
  <c r="AD25" i="25"/>
  <c r="AC25" i="25"/>
  <c r="AG25" i="25" s="1"/>
  <c r="AF27" i="25"/>
  <c r="AE27" i="25" s="1"/>
  <c r="AF26" i="25"/>
  <c r="AE26" i="25" s="1"/>
  <c r="AG26" i="25" s="1"/>
  <c r="AB15" i="25"/>
  <c r="AD14" i="25"/>
  <c r="AC14" i="25"/>
  <c r="AG14" i="25" s="1"/>
  <c r="AD27" i="25"/>
  <c r="AC27" i="25"/>
  <c r="AD29" i="25"/>
  <c r="AC29" i="25"/>
  <c r="AG29" i="25" s="1"/>
  <c r="AC20" i="25"/>
  <c r="AD20" i="25"/>
  <c r="AG28" i="25"/>
  <c r="AB10" i="25"/>
  <c r="AD9" i="25"/>
  <c r="AC9" i="25"/>
  <c r="AG9" i="25" s="1"/>
  <c r="AD11" i="25"/>
  <c r="AC11" i="25"/>
  <c r="AG11" i="25" s="1"/>
  <c r="AB12" i="25"/>
  <c r="AB18" i="25"/>
  <c r="AD17" i="25"/>
  <c r="AC17" i="25"/>
  <c r="AG17" i="25" s="1"/>
  <c r="AD21" i="25"/>
  <c r="AC21" i="25"/>
  <c r="AG21" i="25" s="1"/>
  <c r="AB22" i="25"/>
  <c r="O54" i="1"/>
  <c r="P54" i="1" s="1"/>
  <c r="O51" i="1"/>
  <c r="X45" i="1"/>
  <c r="X44" i="1"/>
  <c r="X43" i="1"/>
  <c r="Q43" i="1"/>
  <c r="AF44" i="1" s="1"/>
  <c r="AE44" i="1" s="1"/>
  <c r="O43" i="1"/>
  <c r="L43" i="1"/>
  <c r="AG20" i="25" l="1"/>
  <c r="AG27" i="25"/>
  <c r="AC18" i="25"/>
  <c r="AG18" i="25" s="1"/>
  <c r="AD18" i="25"/>
  <c r="AC22" i="25"/>
  <c r="AG22" i="25" s="1"/>
  <c r="AD22" i="25"/>
  <c r="AB23" i="25"/>
  <c r="AD10" i="25"/>
  <c r="AC10" i="25"/>
  <c r="AG10" i="25" s="1"/>
  <c r="AD12" i="25"/>
  <c r="AC12" i="25"/>
  <c r="AG12" i="25" s="1"/>
  <c r="AD15" i="25"/>
  <c r="AC15" i="25"/>
  <c r="AG15" i="25" s="1"/>
  <c r="AF43" i="1"/>
  <c r="AE43" i="1" s="1"/>
  <c r="Q11" i="1"/>
  <c r="M43" i="1"/>
  <c r="AB43" i="1" s="1"/>
  <c r="R43" i="1"/>
  <c r="AF45" i="1"/>
  <c r="AE45" i="1" s="1"/>
  <c r="O22" i="1"/>
  <c r="P22" i="1" s="1"/>
  <c r="L22" i="1"/>
  <c r="L23" i="1"/>
  <c r="O82" i="1"/>
  <c r="L82" i="1"/>
  <c r="L84" i="1"/>
  <c r="M84" i="1" s="1"/>
  <c r="AB84" i="1" s="1"/>
  <c r="O84" i="1"/>
  <c r="P84" i="1" s="1"/>
  <c r="X68" i="1"/>
  <c r="O68" i="1"/>
  <c r="L68" i="1"/>
  <c r="M68" i="1" s="1"/>
  <c r="X67" i="1"/>
  <c r="O67" i="1"/>
  <c r="P67" i="1" s="1"/>
  <c r="L67" i="1"/>
  <c r="M67" i="1" s="1"/>
  <c r="AC84" i="1" l="1"/>
  <c r="AD84" i="1"/>
  <c r="AD23" i="25"/>
  <c r="AC23" i="25"/>
  <c r="AG23" i="25" s="1"/>
  <c r="AB44" i="1"/>
  <c r="AD43" i="1"/>
  <c r="AC43" i="1"/>
  <c r="AG43" i="1" s="1"/>
  <c r="R22" i="1"/>
  <c r="Q22" i="1"/>
  <c r="AB68" i="1"/>
  <c r="AC68" i="1" s="1"/>
  <c r="AB67" i="1"/>
  <c r="AD67" i="1" s="1"/>
  <c r="P82" i="1"/>
  <c r="Q82" i="1" s="1"/>
  <c r="AF83" i="1" s="1"/>
  <c r="M82" i="1"/>
  <c r="AB82" i="1" s="1"/>
  <c r="Q84" i="1"/>
  <c r="R84" i="1"/>
  <c r="AB83" i="1" l="1"/>
  <c r="AD82" i="1"/>
  <c r="AC82" i="1"/>
  <c r="AF85" i="1"/>
  <c r="AE85" i="1" s="1"/>
  <c r="AF84" i="1"/>
  <c r="AE84" i="1" s="1"/>
  <c r="AG84" i="1" s="1"/>
  <c r="AE83" i="1"/>
  <c r="AF82" i="1"/>
  <c r="AE82" i="1" s="1"/>
  <c r="AB45" i="1"/>
  <c r="AD44" i="1"/>
  <c r="AC44" i="1"/>
  <c r="AG44" i="1" s="1"/>
  <c r="AD68" i="1"/>
  <c r="AC67" i="1"/>
  <c r="R82" i="1"/>
  <c r="P68" i="1"/>
  <c r="AG82" i="1" l="1"/>
  <c r="AD83" i="1"/>
  <c r="AC83" i="1"/>
  <c r="AG83" i="1" s="1"/>
  <c r="AC45" i="1"/>
  <c r="AG45" i="1" s="1"/>
  <c r="AD45" i="1"/>
  <c r="Q68" i="1"/>
  <c r="AF68" i="1" s="1"/>
  <c r="AE68" i="1" s="1"/>
  <c r="AG68" i="1" s="1"/>
  <c r="R68" i="1"/>
  <c r="Q67" i="1" l="1"/>
  <c r="R67" i="1" l="1"/>
  <c r="AF67" i="1" l="1"/>
  <c r="AE67" i="1" s="1"/>
  <c r="AG67" i="1" s="1"/>
  <c r="L70" i="1" l="1"/>
  <c r="M70" i="1" s="1"/>
  <c r="O70" i="1"/>
  <c r="P70" i="1" s="1"/>
  <c r="X70" i="1"/>
  <c r="X71" i="1"/>
  <c r="L72" i="1"/>
  <c r="M72" i="1" s="1"/>
  <c r="O72" i="1"/>
  <c r="P72" i="1" l="1"/>
  <c r="Q72" i="1" s="1"/>
  <c r="AB70" i="1"/>
  <c r="AC70" i="1" s="1"/>
  <c r="Q70" i="1"/>
  <c r="AF70" i="1" s="1"/>
  <c r="AE70" i="1" s="1"/>
  <c r="R70" i="1"/>
  <c r="AF26" i="1"/>
  <c r="AE26" i="1" s="1"/>
  <c r="X26" i="1"/>
  <c r="X25" i="1"/>
  <c r="X24" i="1"/>
  <c r="R72" i="1" l="1"/>
  <c r="AD70" i="1"/>
  <c r="AB71" i="1"/>
  <c r="AC71" i="1" s="1"/>
  <c r="AG70" i="1"/>
  <c r="AF71" i="1"/>
  <c r="AE71" i="1" s="1"/>
  <c r="Q16" i="1"/>
  <c r="X69" i="1"/>
  <c r="O69" i="1"/>
  <c r="P69" i="1" s="1"/>
  <c r="Q69" i="1" s="1"/>
  <c r="AF69" i="1" s="1"/>
  <c r="L69" i="1"/>
  <c r="M69" i="1" s="1"/>
  <c r="X66" i="1"/>
  <c r="O66" i="1"/>
  <c r="P66" i="1" s="1"/>
  <c r="L66" i="1"/>
  <c r="AD71" i="1" l="1"/>
  <c r="Q66" i="1"/>
  <c r="AF66" i="1" s="1"/>
  <c r="AE66" i="1" s="1"/>
  <c r="AG71" i="1"/>
  <c r="AE69" i="1"/>
  <c r="R69" i="1"/>
  <c r="M66" i="1"/>
  <c r="R66" i="1" l="1"/>
  <c r="X93" i="1"/>
  <c r="X94" i="1"/>
  <c r="X95" i="1"/>
  <c r="X92" i="1"/>
  <c r="L92" i="1"/>
  <c r="M92" i="1" s="1"/>
  <c r="AB92" i="1" l="1"/>
  <c r="AC92" i="1" s="1"/>
  <c r="AB93" i="1" l="1"/>
  <c r="AB94" i="1" s="1"/>
  <c r="AD92" i="1"/>
  <c r="AC93" i="1" l="1"/>
  <c r="AD93" i="1"/>
  <c r="AB95" i="1"/>
  <c r="AD94" i="1"/>
  <c r="AC94" i="1"/>
  <c r="AC95" i="1" l="1"/>
  <c r="AD95" i="1"/>
  <c r="K63" i="1" l="1"/>
  <c r="X62" i="1"/>
  <c r="X61" i="1"/>
  <c r="X60" i="1"/>
  <c r="O24" i="1" l="1"/>
  <c r="P24" i="1" s="1"/>
  <c r="Q24" i="1" s="1"/>
  <c r="L24" i="1"/>
  <c r="M24" i="1" s="1"/>
  <c r="AB24" i="1" s="1"/>
  <c r="AB25" i="1" l="1"/>
  <c r="AB26" i="1" s="1"/>
  <c r="AC24" i="1"/>
  <c r="AD24" i="1"/>
  <c r="AF25" i="1"/>
  <c r="AE25" i="1" s="1"/>
  <c r="AF24" i="1"/>
  <c r="AE24" i="1" s="1"/>
  <c r="R24" i="1"/>
  <c r="AC26" i="1" l="1"/>
  <c r="AG26" i="1" s="1"/>
  <c r="AD26" i="1"/>
  <c r="AG24" i="1"/>
  <c r="AD25" i="1"/>
  <c r="AC25" i="1"/>
  <c r="AG25" i="1" s="1"/>
  <c r="X88" i="1" l="1"/>
  <c r="X87" i="1"/>
  <c r="L87" i="1"/>
  <c r="M87" i="1" s="1"/>
  <c r="X86" i="1"/>
  <c r="L86" i="1"/>
  <c r="M86" i="1" s="1"/>
  <c r="AB86" i="1" l="1"/>
  <c r="AB87" i="1"/>
  <c r="AD87" i="1" s="1"/>
  <c r="AD86" i="1" l="1"/>
  <c r="AC86" i="1"/>
  <c r="AB88" i="1"/>
  <c r="AD88" i="1" s="1"/>
  <c r="AC87" i="1"/>
  <c r="AC88" i="1" l="1"/>
  <c r="X81" i="1"/>
  <c r="X80" i="1"/>
  <c r="U80" i="1"/>
  <c r="L80" i="1"/>
  <c r="M80" i="1" s="1"/>
  <c r="AB80" i="1" l="1"/>
  <c r="AD80" i="1" s="1"/>
  <c r="AC80" i="1" l="1"/>
  <c r="AB81" i="1"/>
  <c r="AB85" i="1" s="1"/>
  <c r="AC85" i="1" l="1"/>
  <c r="AG85" i="1" s="1"/>
  <c r="AD85" i="1"/>
  <c r="AD81" i="1"/>
  <c r="AC81" i="1"/>
  <c r="AF79" i="1"/>
  <c r="AE79" i="1" s="1"/>
  <c r="X79" i="1"/>
  <c r="O79" i="1"/>
  <c r="AF78" i="1"/>
  <c r="AE78" i="1" s="1"/>
  <c r="X78" i="1"/>
  <c r="O78" i="1"/>
  <c r="P78" i="1" s="1"/>
  <c r="L78" i="1"/>
  <c r="M78" i="1" s="1"/>
  <c r="X77" i="1"/>
  <c r="U77" i="1"/>
  <c r="X76" i="1"/>
  <c r="U76" i="1"/>
  <c r="L76" i="1"/>
  <c r="AB78" i="1" l="1"/>
  <c r="AC78" i="1" s="1"/>
  <c r="AG78" i="1" s="1"/>
  <c r="R78" i="1"/>
  <c r="M76" i="1"/>
  <c r="AB76" i="1" s="1"/>
  <c r="AB79" i="1" l="1"/>
  <c r="AC79" i="1" s="1"/>
  <c r="AG79" i="1" s="1"/>
  <c r="AD78" i="1"/>
  <c r="AC76" i="1"/>
  <c r="AD76" i="1"/>
  <c r="AB77" i="1"/>
  <c r="AD79" i="1" l="1"/>
  <c r="AC77" i="1"/>
  <c r="AD77" i="1"/>
  <c r="O76" i="1" l="1"/>
  <c r="P76" i="1" s="1"/>
  <c r="Q76" i="1" l="1"/>
  <c r="R76" i="1"/>
  <c r="AF77" i="1" l="1"/>
  <c r="AE77" i="1" s="1"/>
  <c r="AG77" i="1" s="1"/>
  <c r="AF76" i="1"/>
  <c r="AE76" i="1" s="1"/>
  <c r="AG76" i="1" s="1"/>
  <c r="X75" i="1" l="1"/>
  <c r="X74" i="1"/>
  <c r="O74" i="1"/>
  <c r="P74" i="1" s="1"/>
  <c r="Q74" i="1" s="1"/>
  <c r="AF74" i="1" s="1"/>
  <c r="AE74" i="1" s="1"/>
  <c r="L74" i="1"/>
  <c r="AF75" i="1" l="1"/>
  <c r="AE75" i="1" s="1"/>
  <c r="R74" i="1"/>
  <c r="M74" i="1"/>
  <c r="AB74" i="1" s="1"/>
  <c r="AD74" i="1" l="1"/>
  <c r="AC74" i="1"/>
  <c r="AG74" i="1" s="1"/>
  <c r="AB75" i="1"/>
  <c r="AC75" i="1" s="1"/>
  <c r="AG75" i="1" s="1"/>
  <c r="AD75" i="1" l="1"/>
  <c r="X38" i="1"/>
  <c r="X37" i="1"/>
  <c r="O37" i="1"/>
  <c r="L37" i="1"/>
  <c r="P37" i="1" l="1"/>
  <c r="Q37" i="1" s="1"/>
  <c r="M37" i="1"/>
  <c r="AB37" i="1" s="1"/>
  <c r="AF38" i="1" l="1"/>
  <c r="AE38" i="1" s="1"/>
  <c r="AF37" i="1"/>
  <c r="AE37" i="1" s="1"/>
  <c r="R37" i="1"/>
  <c r="AD37" i="1"/>
  <c r="AB38" i="1"/>
  <c r="AC37" i="1"/>
  <c r="AG37" i="1" l="1"/>
  <c r="AC38" i="1"/>
  <c r="AG38" i="1" s="1"/>
  <c r="AD38" i="1"/>
  <c r="X34" i="1" l="1"/>
  <c r="X33" i="1"/>
  <c r="O33" i="1"/>
  <c r="P33" i="1" s="1"/>
  <c r="L33" i="1"/>
  <c r="M33" i="1" s="1"/>
  <c r="Q33" i="1" l="1"/>
  <c r="AB33" i="1"/>
  <c r="AC33" i="1" s="1"/>
  <c r="AF33" i="1" l="1"/>
  <c r="AE33" i="1" s="1"/>
  <c r="AG33" i="1" s="1"/>
  <c r="AF34" i="1"/>
  <c r="AE34" i="1" s="1"/>
  <c r="R33" i="1"/>
  <c r="AB34" i="1"/>
  <c r="AC34" i="1" s="1"/>
  <c r="AD33" i="1"/>
  <c r="AG34" i="1" l="1"/>
  <c r="AD34" i="1"/>
  <c r="X30" i="1"/>
  <c r="O30" i="1"/>
  <c r="P30" i="1" s="1"/>
  <c r="Q30" i="1" s="1"/>
  <c r="AF30" i="1" s="1"/>
  <c r="AE30" i="1" s="1"/>
  <c r="L30" i="1"/>
  <c r="M30" i="1" s="1"/>
  <c r="X29" i="1"/>
  <c r="O29" i="1"/>
  <c r="P29" i="1" s="1"/>
  <c r="L29" i="1"/>
  <c r="Q29" i="1" l="1"/>
  <c r="AF29" i="1" s="1"/>
  <c r="AE29" i="1" s="1"/>
  <c r="AB30" i="1"/>
  <c r="AC30" i="1" s="1"/>
  <c r="AG30" i="1" s="1"/>
  <c r="R30" i="1"/>
  <c r="M29" i="1"/>
  <c r="AB29" i="1" s="1"/>
  <c r="R29" i="1" l="1"/>
  <c r="AD30" i="1"/>
  <c r="AD29" i="1"/>
  <c r="AC29" i="1"/>
  <c r="AG29" i="1" s="1"/>
  <c r="X18" i="1" l="1"/>
  <c r="X17" i="1"/>
  <c r="U17" i="1"/>
  <c r="X16" i="1"/>
  <c r="U16" i="1"/>
  <c r="L16" i="1"/>
  <c r="M16" i="1" l="1"/>
  <c r="AB16" i="1" s="1"/>
  <c r="AB17" i="1" s="1"/>
  <c r="R16" i="1"/>
  <c r="AD17" i="1" l="1"/>
  <c r="AB18" i="1"/>
  <c r="AC17" i="1"/>
  <c r="AD16" i="1"/>
  <c r="AC16" i="1"/>
  <c r="AF18" i="1" l="1"/>
  <c r="AE18" i="1" s="1"/>
  <c r="AF16" i="1"/>
  <c r="AE16" i="1" s="1"/>
  <c r="AG16" i="1" s="1"/>
  <c r="AF17" i="1"/>
  <c r="AE17" i="1" s="1"/>
  <c r="AG17" i="1" s="1"/>
  <c r="AC18" i="1"/>
  <c r="AD18" i="1"/>
  <c r="AG18" i="1" l="1"/>
  <c r="X15" i="1"/>
  <c r="X14" i="1"/>
  <c r="Q14" i="1"/>
  <c r="L14" i="1"/>
  <c r="M14" i="1" s="1"/>
  <c r="X13" i="1"/>
  <c r="X12" i="1"/>
  <c r="X11" i="1"/>
  <c r="L11" i="1"/>
  <c r="M11" i="1" s="1"/>
  <c r="X10" i="1"/>
  <c r="X9" i="1"/>
  <c r="O9" i="1"/>
  <c r="P9" i="1" s="1"/>
  <c r="Q9" i="1" s="1"/>
  <c r="L9" i="1"/>
  <c r="M9" i="1" s="1"/>
  <c r="AB14" i="1" l="1"/>
  <c r="AB15" i="1" s="1"/>
  <c r="AB9" i="1"/>
  <c r="AB10" i="1" s="1"/>
  <c r="AB11" i="1"/>
  <c r="AB12" i="1" s="1"/>
  <c r="AF10" i="1"/>
  <c r="AE10" i="1" s="1"/>
  <c r="AF9" i="1"/>
  <c r="AE9" i="1" s="1"/>
  <c r="AF13" i="1"/>
  <c r="AE13" i="1" s="1"/>
  <c r="AF12" i="1"/>
  <c r="AE12" i="1" s="1"/>
  <c r="AF11" i="1"/>
  <c r="AE11" i="1" s="1"/>
  <c r="AC14" i="1"/>
  <c r="AF15" i="1"/>
  <c r="AE15" i="1" s="1"/>
  <c r="AF14" i="1"/>
  <c r="AE14" i="1" s="1"/>
  <c r="R9" i="1"/>
  <c r="R11" i="1"/>
  <c r="R14" i="1"/>
  <c r="AD14" i="1" l="1"/>
  <c r="AD11" i="1"/>
  <c r="AC11" i="1"/>
  <c r="AG11" i="1" s="1"/>
  <c r="AD9" i="1"/>
  <c r="AC9" i="1"/>
  <c r="AG9" i="1" s="1"/>
  <c r="AG14" i="1"/>
  <c r="AB13" i="1"/>
  <c r="AD12" i="1"/>
  <c r="AC12" i="1"/>
  <c r="AG12" i="1" s="1"/>
  <c r="AC15" i="1"/>
  <c r="AG15" i="1" s="1"/>
  <c r="AD15" i="1"/>
  <c r="AD10" i="1"/>
  <c r="AC10" i="1"/>
  <c r="AG10" i="1" s="1"/>
  <c r="AD13" i="1" l="1"/>
  <c r="AC13" i="1"/>
  <c r="AG13" i="1" s="1"/>
  <c r="X23" i="1" l="1"/>
  <c r="U23" i="1"/>
  <c r="O23" i="1"/>
  <c r="P23" i="1" s="1"/>
  <c r="X21" i="1"/>
  <c r="X20" i="1"/>
  <c r="X19" i="1"/>
  <c r="L19" i="1"/>
  <c r="M19" i="1" s="1"/>
  <c r="AB19" i="1" l="1"/>
  <c r="AB20" i="1" s="1"/>
  <c r="AB23" i="1" s="1"/>
  <c r="R23" i="1"/>
  <c r="M23" i="1"/>
  <c r="AD19" i="1" l="1"/>
  <c r="AC19" i="1"/>
  <c r="AC23" i="1"/>
  <c r="AD23" i="1"/>
  <c r="AD20" i="1"/>
  <c r="AB21" i="1"/>
  <c r="AC20" i="1"/>
  <c r="AC21" i="1" l="1"/>
  <c r="AD21" i="1"/>
  <c r="O19" i="1" l="1"/>
  <c r="P19" i="1" s="1"/>
  <c r="Q19" i="1" l="1"/>
  <c r="R19" i="1"/>
  <c r="Q23" i="1"/>
  <c r="AF20" i="1" l="1"/>
  <c r="AF19" i="1"/>
  <c r="AE19" i="1" s="1"/>
  <c r="AG19" i="1" s="1"/>
  <c r="AF21" i="1" l="1"/>
  <c r="AE20" i="1"/>
  <c r="AG20" i="1" s="1"/>
  <c r="AE21" i="1" l="1"/>
  <c r="AG21" i="1" s="1"/>
  <c r="AF23" i="1"/>
  <c r="AE23" i="1" s="1"/>
  <c r="AG23" i="1" s="1"/>
  <c r="X28" i="1"/>
  <c r="X27" i="1"/>
  <c r="U27" i="1"/>
  <c r="L27" i="1"/>
  <c r="M27" i="1" s="1"/>
  <c r="AB27" i="1" l="1"/>
  <c r="AD27" i="1" l="1"/>
  <c r="AB28" i="1"/>
  <c r="AC27" i="1"/>
  <c r="AC28" i="1" l="1"/>
  <c r="AD28" i="1"/>
  <c r="Q27" i="1" l="1"/>
  <c r="AF27" i="1" l="1"/>
  <c r="AE27" i="1" s="1"/>
  <c r="AG27" i="1" s="1"/>
  <c r="AF28" i="1"/>
  <c r="AE28" i="1" s="1"/>
  <c r="AG28" i="1" s="1"/>
  <c r="R27" i="1"/>
  <c r="X46" i="1"/>
  <c r="X47" i="1"/>
  <c r="X48" i="1"/>
  <c r="O46" i="1"/>
  <c r="Q46" i="1" s="1"/>
  <c r="AF48" i="1" s="1"/>
  <c r="AE48" i="1" s="1"/>
  <c r="K46" i="1"/>
  <c r="L46" i="1" s="1"/>
  <c r="M46" i="1" s="1"/>
  <c r="AB46" i="1" l="1"/>
  <c r="AD46" i="1" s="1"/>
  <c r="AF47" i="1"/>
  <c r="AE47" i="1" s="1"/>
  <c r="AF46" i="1"/>
  <c r="AE46" i="1" s="1"/>
  <c r="R46" i="1"/>
  <c r="AB47" i="1" l="1"/>
  <c r="AB48" i="1" s="1"/>
  <c r="AC46" i="1"/>
  <c r="AG46" i="1" s="1"/>
  <c r="AC47" i="1" l="1"/>
  <c r="AG47" i="1" s="1"/>
  <c r="AD47" i="1"/>
  <c r="AC48" i="1"/>
  <c r="AG48" i="1" s="1"/>
  <c r="AD48" i="1"/>
  <c r="U42" i="1" l="1"/>
  <c r="U41" i="1"/>
  <c r="X41" i="1"/>
  <c r="X42" i="1"/>
  <c r="L41" i="1"/>
  <c r="M41" i="1" s="1"/>
  <c r="O41" i="1"/>
  <c r="P41" i="1" s="1"/>
  <c r="X39" i="1"/>
  <c r="X40" i="1"/>
  <c r="O39" i="1"/>
  <c r="P39" i="1" s="1"/>
  <c r="Q39" i="1" s="1"/>
  <c r="AF39" i="1" s="1"/>
  <c r="AE39" i="1" s="1"/>
  <c r="K39" i="1"/>
  <c r="L39" i="1" s="1"/>
  <c r="M39" i="1" s="1"/>
  <c r="X49" i="1"/>
  <c r="L49" i="1"/>
  <c r="M49" i="1" s="1"/>
  <c r="O49" i="1"/>
  <c r="AB39" i="1" l="1"/>
  <c r="AB40" i="1" s="1"/>
  <c r="AB41" i="1"/>
  <c r="AC41" i="1" s="1"/>
  <c r="AB49" i="1"/>
  <c r="AC49" i="1" s="1"/>
  <c r="Q41" i="1"/>
  <c r="AF41" i="1" s="1"/>
  <c r="AE41" i="1" s="1"/>
  <c r="R41" i="1"/>
  <c r="AF40" i="1"/>
  <c r="AE40" i="1" s="1"/>
  <c r="R39" i="1"/>
  <c r="P49" i="1"/>
  <c r="Q49" i="1" s="1"/>
  <c r="AF49" i="1" s="1"/>
  <c r="AE49" i="1" s="1"/>
  <c r="AD39" i="1" l="1"/>
  <c r="AC39" i="1"/>
  <c r="AG39" i="1" s="1"/>
  <c r="AB42" i="1"/>
  <c r="AD42" i="1" s="1"/>
  <c r="AD41" i="1"/>
  <c r="AG49" i="1"/>
  <c r="AD49" i="1"/>
  <c r="AG41" i="1"/>
  <c r="AF42" i="1"/>
  <c r="AE42" i="1" s="1"/>
  <c r="AD40" i="1"/>
  <c r="AC40" i="1"/>
  <c r="AG40" i="1" s="1"/>
  <c r="R49" i="1"/>
  <c r="AC42" i="1" l="1"/>
  <c r="AG42" i="1" s="1"/>
  <c r="X58" i="1"/>
  <c r="X59" i="1"/>
  <c r="L58" i="1"/>
  <c r="M58" i="1" s="1"/>
  <c r="X56" i="1"/>
  <c r="X57" i="1"/>
  <c r="L56" i="1"/>
  <c r="M56" i="1" s="1"/>
  <c r="X55" i="1"/>
  <c r="AB69" i="1" s="1"/>
  <c r="L55" i="1"/>
  <c r="M55" i="1" s="1"/>
  <c r="O58" i="1"/>
  <c r="O56" i="1"/>
  <c r="O55" i="1"/>
  <c r="P55" i="1" s="1"/>
  <c r="AB58" i="1" l="1"/>
  <c r="AC58" i="1" s="1"/>
  <c r="AB56" i="1"/>
  <c r="AB57" i="1" s="1"/>
  <c r="P58" i="1"/>
  <c r="P56" i="1"/>
  <c r="AB59" i="1" l="1"/>
  <c r="AD59" i="1" s="1"/>
  <c r="AD56" i="1"/>
  <c r="AC56" i="1"/>
  <c r="AD58" i="1"/>
  <c r="Q58" i="1"/>
  <c r="R58" i="1"/>
  <c r="AD57" i="1"/>
  <c r="AC57" i="1"/>
  <c r="R56" i="1"/>
  <c r="Q56" i="1"/>
  <c r="Q55" i="1"/>
  <c r="R55" i="1"/>
  <c r="AC59" i="1" l="1"/>
  <c r="AF59" i="1"/>
  <c r="AE59" i="1" s="1"/>
  <c r="AG59" i="1" s="1"/>
  <c r="AF58" i="1"/>
  <c r="AE58" i="1" s="1"/>
  <c r="AG58" i="1" s="1"/>
  <c r="AF56" i="1"/>
  <c r="AE56" i="1" s="1"/>
  <c r="AG56" i="1" s="1"/>
  <c r="AF57" i="1"/>
  <c r="AE57" i="1" s="1"/>
  <c r="AG57" i="1" s="1"/>
  <c r="AF55" i="1"/>
  <c r="AE55" i="1" s="1"/>
  <c r="X63" i="1" l="1"/>
  <c r="X64" i="1"/>
  <c r="X65" i="1"/>
  <c r="L63" i="1" l="1"/>
  <c r="L60" i="1"/>
  <c r="M60" i="1" s="1"/>
  <c r="AB60" i="1" s="1"/>
  <c r="O60" i="1"/>
  <c r="AC60" i="1" l="1"/>
  <c r="AD60" i="1"/>
  <c r="AB61" i="1"/>
  <c r="P60" i="1"/>
  <c r="X52" i="1"/>
  <c r="AD61" i="1" l="1"/>
  <c r="AC61" i="1"/>
  <c r="AB62" i="1"/>
  <c r="R60" i="1"/>
  <c r="Q60" i="1"/>
  <c r="AF62" i="1" s="1"/>
  <c r="AE62" i="1" s="1"/>
  <c r="AD62" i="1" l="1"/>
  <c r="AC62" i="1"/>
  <c r="AG62" i="1" s="1"/>
  <c r="AF60" i="1"/>
  <c r="AE60" i="1" s="1"/>
  <c r="AG60" i="1" s="1"/>
  <c r="AF61" i="1"/>
  <c r="AE61" i="1" s="1"/>
  <c r="AG61" i="1" s="1"/>
  <c r="Q54" i="1"/>
  <c r="X54" i="1" l="1"/>
  <c r="L54" i="1"/>
  <c r="X53" i="1"/>
  <c r="X51" i="1"/>
  <c r="L51" i="1"/>
  <c r="X50" i="1"/>
  <c r="M54" i="1" l="1"/>
  <c r="AB54" i="1" s="1"/>
  <c r="AB55" i="1" s="1"/>
  <c r="R54" i="1"/>
  <c r="AF54" i="1"/>
  <c r="AE54" i="1" s="1"/>
  <c r="P51" i="1"/>
  <c r="Q51" i="1" s="1"/>
  <c r="AF53" i="1" s="1"/>
  <c r="AE53" i="1" s="1"/>
  <c r="AB50" i="1"/>
  <c r="M51" i="1"/>
  <c r="AB51" i="1" s="1"/>
  <c r="AB52" i="1" s="1"/>
  <c r="AC55" i="1" l="1"/>
  <c r="AG55" i="1" s="1"/>
  <c r="AD55" i="1"/>
  <c r="AB53" i="1"/>
  <c r="AC52" i="1"/>
  <c r="AD52" i="1"/>
  <c r="AD54" i="1"/>
  <c r="AC54" i="1"/>
  <c r="AG54" i="1" s="1"/>
  <c r="AF51" i="1"/>
  <c r="AE51" i="1" s="1"/>
  <c r="AF52" i="1"/>
  <c r="AE52" i="1" s="1"/>
  <c r="AF50" i="1"/>
  <c r="AE50" i="1" s="1"/>
  <c r="R51" i="1"/>
  <c r="AD51" i="1"/>
  <c r="AC51" i="1"/>
  <c r="AG52" i="1" l="1"/>
  <c r="AG51" i="1"/>
  <c r="AC53" i="1"/>
  <c r="AG53" i="1" s="1"/>
  <c r="AD53" i="1"/>
  <c r="AC50" i="1"/>
  <c r="AG50" i="1" s="1"/>
  <c r="AD50" i="1"/>
  <c r="X36" i="1" l="1"/>
  <c r="X35" i="1"/>
  <c r="L35" i="1"/>
  <c r="M35" i="1" s="1"/>
  <c r="X32" i="1"/>
  <c r="U32" i="1"/>
  <c r="X31" i="1"/>
  <c r="U31" i="1"/>
  <c r="L31" i="1"/>
  <c r="O35" i="1"/>
  <c r="AB35" i="1" l="1"/>
  <c r="AB36" i="1" s="1"/>
  <c r="P35" i="1"/>
  <c r="Q35" i="1" s="1"/>
  <c r="AF36" i="1" s="1"/>
  <c r="AE36" i="1" s="1"/>
  <c r="M31" i="1"/>
  <c r="AB31" i="1" s="1"/>
  <c r="AD35" i="1" l="1"/>
  <c r="AC35" i="1"/>
  <c r="AF35" i="1"/>
  <c r="AE35" i="1" s="1"/>
  <c r="R35" i="1"/>
  <c r="AC31" i="1"/>
  <c r="AD31" i="1"/>
  <c r="AB32" i="1"/>
  <c r="AC36" i="1"/>
  <c r="AG36" i="1" s="1"/>
  <c r="AD36" i="1"/>
  <c r="AG35" i="1" l="1"/>
  <c r="AC32" i="1"/>
  <c r="AD32" i="1"/>
  <c r="O31" i="1" l="1"/>
  <c r="P31" i="1" s="1"/>
  <c r="Q31" i="1" l="1"/>
  <c r="R31" i="1"/>
  <c r="AF32" i="1" l="1"/>
  <c r="AE32" i="1" s="1"/>
  <c r="AG32" i="1" s="1"/>
  <c r="AF31" i="1"/>
  <c r="AE31" i="1" s="1"/>
  <c r="AG31" i="1" s="1"/>
  <c r="L89" i="1" l="1"/>
  <c r="M89" i="1" s="1"/>
  <c r="AB89" i="1" s="1"/>
  <c r="O80" i="1"/>
  <c r="P80" i="1" s="1"/>
  <c r="O86" i="1"/>
  <c r="P86" i="1" s="1"/>
  <c r="O91" i="1"/>
  <c r="O95" i="1"/>
  <c r="O88" i="1"/>
  <c r="O92" i="1"/>
  <c r="P92" i="1" s="1"/>
  <c r="O87" i="1"/>
  <c r="P87" i="1" s="1"/>
  <c r="Q92" i="1" l="1"/>
  <c r="R92" i="1"/>
  <c r="AD89" i="1"/>
  <c r="AB90" i="1"/>
  <c r="AC89" i="1"/>
  <c r="R87" i="1"/>
  <c r="Q87" i="1"/>
  <c r="R86" i="1"/>
  <c r="Q86" i="1"/>
  <c r="R80" i="1"/>
  <c r="Q80" i="1"/>
  <c r="M63" i="1"/>
  <c r="AB63" i="1" s="1"/>
  <c r="AF94" i="1" l="1"/>
  <c r="AE94" i="1" s="1"/>
  <c r="AG94" i="1" s="1"/>
  <c r="AF95" i="1"/>
  <c r="AE95" i="1" s="1"/>
  <c r="AG95" i="1" s="1"/>
  <c r="AF92" i="1"/>
  <c r="AE92" i="1" s="1"/>
  <c r="AG92" i="1" s="1"/>
  <c r="AF93" i="1"/>
  <c r="AE93" i="1" s="1"/>
  <c r="AG93" i="1" s="1"/>
  <c r="AB91" i="1"/>
  <c r="AD90" i="1"/>
  <c r="AC90" i="1"/>
  <c r="AC63" i="1"/>
  <c r="AB64" i="1"/>
  <c r="AD63" i="1"/>
  <c r="AF87" i="1"/>
  <c r="AE87" i="1" s="1"/>
  <c r="AG87" i="1" s="1"/>
  <c r="AF88" i="1"/>
  <c r="AE88" i="1" s="1"/>
  <c r="AG88" i="1" s="1"/>
  <c r="AF86" i="1"/>
  <c r="AE86" i="1" s="1"/>
  <c r="AG86" i="1" s="1"/>
  <c r="AF81" i="1"/>
  <c r="AE81" i="1" s="1"/>
  <c r="AG81" i="1" s="1"/>
  <c r="AF80" i="1"/>
  <c r="AE80" i="1" s="1"/>
  <c r="AG80" i="1" s="1"/>
  <c r="AD91" i="1" l="1"/>
  <c r="AC91" i="1"/>
  <c r="AC64" i="1"/>
  <c r="AD64" i="1"/>
  <c r="AB65" i="1"/>
  <c r="AB66" i="1" s="1"/>
  <c r="AC66" i="1" l="1"/>
  <c r="AG66" i="1" s="1"/>
  <c r="AD66" i="1"/>
  <c r="AC65" i="1"/>
  <c r="AD65" i="1"/>
  <c r="F221" i="13"/>
  <c r="F211" i="13"/>
  <c r="F212" i="13"/>
  <c r="F213" i="13"/>
  <c r="F214" i="13"/>
  <c r="F215" i="13"/>
  <c r="F216" i="13"/>
  <c r="F217" i="13"/>
  <c r="F218" i="13"/>
  <c r="F219" i="13"/>
  <c r="F220" i="13"/>
  <c r="F210" i="13"/>
  <c r="B221" i="13" a="1"/>
  <c r="B221" i="13" l="1"/>
  <c r="AL44" i="18" l="1"/>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H210" i="13"/>
  <c r="T52" i="19" l="1"/>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J11" i="19" l="1"/>
  <c r="V11" i="19"/>
  <c r="AB21" i="19"/>
  <c r="P31" i="19"/>
  <c r="J31" i="19"/>
  <c r="AB41" i="19"/>
  <c r="AH41" i="19"/>
  <c r="P41" i="19"/>
  <c r="J21" i="19"/>
  <c r="AB31" i="19"/>
  <c r="AB51" i="19"/>
  <c r="P21" i="19"/>
  <c r="V41" i="19"/>
  <c r="V31" i="19"/>
  <c r="AH21" i="19"/>
  <c r="AB11" i="19"/>
  <c r="P51" i="19"/>
  <c r="V21" i="19"/>
  <c r="AH31" i="19"/>
  <c r="V51" i="19"/>
  <c r="J51" i="19"/>
  <c r="AH51" i="19"/>
  <c r="AH11" i="19"/>
  <c r="J41" i="19"/>
  <c r="P11" i="19"/>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V32" i="19"/>
  <c r="P42" i="19"/>
  <c r="J12" i="19"/>
  <c r="J32" i="19"/>
  <c r="AB52" i="19"/>
  <c r="J22" i="19"/>
  <c r="V22" i="19"/>
  <c r="J52" i="19"/>
  <c r="AH12" i="19"/>
  <c r="J42" i="19"/>
  <c r="AH42" i="19"/>
  <c r="P32" i="19"/>
  <c r="AB12" i="19"/>
  <c r="AH32" i="19"/>
  <c r="AB32" i="19"/>
  <c r="AB42" i="19"/>
  <c r="V42" i="19"/>
  <c r="V12" i="19"/>
  <c r="V52" i="19"/>
  <c r="AB22" i="19"/>
  <c r="AH52" i="19"/>
  <c r="AH22" i="19"/>
  <c r="P22" i="19"/>
  <c r="P12" i="19"/>
  <c r="P52" i="19"/>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D12" i="19"/>
  <c r="AD32" i="19"/>
  <c r="AD22" i="19"/>
  <c r="X52" i="19"/>
  <c r="AD52" i="19"/>
  <c r="L42" i="19"/>
  <c r="R42" i="19"/>
  <c r="AJ21" i="19"/>
  <c r="AD31" i="19"/>
  <c r="R21" i="19"/>
  <c r="AD41" i="19"/>
  <c r="AJ11" i="19"/>
  <c r="AJ51" i="19"/>
  <c r="L41" i="19"/>
  <c r="AD11" i="19"/>
  <c r="L21" i="19"/>
  <c r="L11" i="19"/>
  <c r="X51" i="19"/>
  <c r="X21" i="19"/>
  <c r="R11" i="19"/>
  <c r="R31" i="19"/>
  <c r="AJ41" i="19"/>
  <c r="L31" i="19"/>
  <c r="R51" i="19"/>
  <c r="X31" i="19"/>
  <c r="X11" i="19"/>
  <c r="X41" i="19"/>
  <c r="AJ31" i="19"/>
  <c r="AD51" i="19"/>
  <c r="R41" i="19"/>
  <c r="AD21" i="19"/>
  <c r="L51" i="19"/>
  <c r="K42" i="19"/>
  <c r="AC32" i="19"/>
  <c r="W42" i="19"/>
  <c r="AI52" i="19"/>
  <c r="K22" i="19"/>
  <c r="Q32" i="19"/>
  <c r="AI12" i="19"/>
  <c r="AC52" i="19"/>
  <c r="Q42" i="19"/>
  <c r="AC42" i="19"/>
  <c r="K12" i="19"/>
  <c r="Q22" i="19"/>
  <c r="W52" i="19"/>
  <c r="AI42" i="19"/>
  <c r="W32" i="19"/>
  <c r="AI22" i="19"/>
  <c r="W12" i="19"/>
  <c r="AI32" i="19"/>
  <c r="AC12" i="19"/>
  <c r="Q12" i="19"/>
  <c r="Q52" i="19"/>
  <c r="K32" i="19"/>
  <c r="W22" i="19"/>
  <c r="K52" i="19"/>
  <c r="AC22" i="19"/>
  <c r="AI6" i="19"/>
  <c r="W26" i="19"/>
  <c r="AI36" i="19"/>
  <c r="W36" i="19"/>
  <c r="K46" i="19"/>
  <c r="Q46" i="19"/>
  <c r="W16" i="19"/>
  <c r="Q6" i="19"/>
  <c r="AI16" i="19"/>
  <c r="K26" i="19"/>
  <c r="AI26" i="19"/>
  <c r="AC36" i="19"/>
  <c r="AI46" i="19"/>
  <c r="AC26" i="19"/>
  <c r="K36" i="19"/>
  <c r="K6" i="19"/>
  <c r="Q36" i="19"/>
  <c r="W46" i="19"/>
  <c r="AC6" i="19"/>
  <c r="K16" i="19"/>
  <c r="AC46" i="19"/>
  <c r="AC16" i="19"/>
  <c r="Q26" i="19"/>
  <c r="Q16" i="19"/>
  <c r="W6" i="19"/>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Q33" i="19"/>
  <c r="AI23" i="19"/>
  <c r="K53" i="19"/>
  <c r="AC23" i="19"/>
  <c r="AC13" i="19"/>
  <c r="W23" i="19"/>
  <c r="W33" i="19"/>
  <c r="Q13" i="19"/>
  <c r="W13" i="19"/>
  <c r="AI13" i="19"/>
  <c r="Q43" i="19"/>
  <c r="Q23" i="19"/>
  <c r="W53" i="19"/>
  <c r="M12" i="19"/>
  <c r="AK42" i="19"/>
  <c r="AE32" i="19"/>
  <c r="M52" i="19"/>
  <c r="S12" i="19"/>
  <c r="M32" i="19"/>
  <c r="S52" i="19"/>
  <c r="Y52" i="19"/>
  <c r="Y42" i="19"/>
  <c r="AK12" i="19"/>
  <c r="S22" i="19"/>
  <c r="AE12" i="19"/>
  <c r="Y22" i="19"/>
  <c r="S32" i="19"/>
  <c r="AK52" i="19"/>
  <c r="M22" i="19"/>
  <c r="AK32" i="19"/>
  <c r="AE22" i="19"/>
  <c r="AE42" i="19"/>
  <c r="Y32" i="19"/>
  <c r="M42" i="19"/>
  <c r="Y12" i="19"/>
  <c r="AE52" i="19"/>
  <c r="AK22" i="19"/>
  <c r="S42" i="19"/>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AJ43" i="19" l="1"/>
  <c r="AD33" i="19"/>
  <c r="X33" i="19"/>
  <c r="X13" i="19"/>
  <c r="AD43" i="19"/>
  <c r="L43" i="19"/>
  <c r="X23" i="19"/>
  <c r="R33" i="19"/>
  <c r="R43" i="19"/>
  <c r="AD53" i="19"/>
  <c r="AJ13" i="19"/>
  <c r="R23" i="19"/>
  <c r="R13" i="19"/>
  <c r="AJ53" i="19"/>
  <c r="L33" i="19"/>
  <c r="L23" i="19"/>
  <c r="X43" i="19"/>
  <c r="X53" i="19"/>
  <c r="AD13" i="19"/>
  <c r="L53" i="19"/>
  <c r="L13" i="19"/>
  <c r="AD23" i="19"/>
  <c r="AJ33" i="19"/>
  <c r="AJ23" i="19"/>
  <c r="R53" i="19"/>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G11" i="19"/>
  <c r="AM41" i="19"/>
  <c r="AA21" i="19"/>
  <c r="AA51" i="19"/>
  <c r="U51" i="19"/>
  <c r="U31" i="19"/>
  <c r="AA11" i="19"/>
  <c r="AG21" i="19"/>
  <c r="O31" i="19"/>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E11" i="19"/>
  <c r="Y41" i="19"/>
  <c r="M41" i="19"/>
  <c r="Y21" i="19"/>
  <c r="AK41" i="19"/>
  <c r="S31" i="19"/>
  <c r="M31" i="19"/>
  <c r="M51" i="19"/>
  <c r="Y51" i="19"/>
  <c r="AK21" i="19"/>
  <c r="AK31" i="19"/>
  <c r="Y11" i="19"/>
  <c r="AE41" i="19"/>
  <c r="AE21" i="19"/>
  <c r="S51" i="19"/>
  <c r="AE51" i="19"/>
  <c r="AK51" i="19"/>
  <c r="M21" i="19"/>
  <c r="AE31" i="19"/>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D9" i="19"/>
  <c r="AJ49" i="19"/>
  <c r="L39" i="19"/>
  <c r="R19" i="19"/>
  <c r="AJ39" i="19"/>
  <c r="AJ29" i="19"/>
  <c r="AJ19" i="19"/>
  <c r="AJ9" i="19"/>
  <c r="AD49" i="19"/>
  <c r="L19" i="19"/>
  <c r="L29" i="19"/>
  <c r="R49" i="19"/>
  <c r="AG39" i="19" l="1"/>
  <c r="AG29" i="19"/>
  <c r="AM19" i="19"/>
  <c r="O39" i="19"/>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F39" i="19"/>
  <c r="AL19" i="19"/>
  <c r="N39" i="19"/>
  <c r="Z19" i="19"/>
  <c r="AF19" i="19"/>
  <c r="N29" i="19"/>
  <c r="AL29" i="19"/>
  <c r="AL39" i="19"/>
  <c r="AF49" i="19"/>
  <c r="AF9" i="19"/>
  <c r="AL9" i="19"/>
  <c r="N49" i="19"/>
  <c r="Z9" i="19"/>
  <c r="Z49" i="19"/>
  <c r="N19" i="19"/>
  <c r="Z39" i="19"/>
  <c r="T9" i="19"/>
  <c r="T39" i="19"/>
  <c r="Z29" i="19"/>
  <c r="N9" i="19"/>
  <c r="T49" i="19"/>
  <c r="T19" i="19"/>
  <c r="AL49" i="19"/>
  <c r="T29" i="19"/>
  <c r="AF29" i="19"/>
  <c r="T18" i="19"/>
  <c r="N48" i="19"/>
  <c r="N8" i="19"/>
  <c r="T28" i="19"/>
  <c r="AF38" i="19"/>
  <c r="Z28" i="19"/>
  <c r="Z18" i="19"/>
  <c r="AF8" i="19"/>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M9" i="19"/>
  <c r="Y29" i="19"/>
  <c r="AM46" i="19"/>
  <c r="U36" i="19"/>
  <c r="AG16" i="19"/>
  <c r="O6" i="19"/>
  <c r="AA36" i="19"/>
  <c r="AM16" i="19"/>
  <c r="U6" i="19"/>
  <c r="AG46" i="19"/>
  <c r="AA16" i="19"/>
  <c r="AA6" i="19"/>
  <c r="AG6" i="19"/>
  <c r="AA46" i="19"/>
  <c r="AM26" i="19"/>
  <c r="U16" i="19"/>
  <c r="O36" i="19"/>
  <c r="U26" i="19"/>
  <c r="O46" i="19"/>
  <c r="AA26" i="19"/>
  <c r="AM6" i="19"/>
  <c r="U46" i="19"/>
  <c r="AG26" i="19"/>
  <c r="O16" i="19"/>
  <c r="AG36" i="19"/>
  <c r="O26" i="19"/>
  <c r="AM36" i="19"/>
  <c r="O8" i="19"/>
  <c r="AA48" i="19"/>
  <c r="AM38" i="19"/>
  <c r="U48" i="19"/>
  <c r="AA18" i="19"/>
  <c r="AG18" i="19"/>
  <c r="AG48" i="19"/>
  <c r="AM18" i="19"/>
  <c r="AA28" i="19"/>
  <c r="AG28" i="19"/>
  <c r="AA8" i="19"/>
  <c r="U18" i="19"/>
  <c r="AG38" i="19"/>
  <c r="U38" i="19"/>
  <c r="AM8" i="19"/>
  <c r="AA38" i="19"/>
  <c r="AM48" i="19"/>
  <c r="U28" i="19"/>
  <c r="O38" i="19"/>
  <c r="U8" i="19"/>
  <c r="AG8" i="19"/>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M33" i="19"/>
  <c r="AF6" i="19"/>
  <c r="N46" i="19"/>
  <c r="Z26" i="19"/>
  <c r="AL6" i="19"/>
  <c r="AL36" i="19"/>
  <c r="AF26" i="19"/>
  <c r="Z6" i="19"/>
  <c r="T26" i="19"/>
  <c r="Z46" i="19"/>
  <c r="AF46" i="19"/>
  <c r="T46" i="19"/>
  <c r="T6" i="19"/>
  <c r="AF36" i="19"/>
  <c r="N26" i="19"/>
  <c r="Z16" i="19"/>
  <c r="AL26" i="19"/>
  <c r="Z36" i="19"/>
  <c r="N36" i="19"/>
  <c r="AL46" i="19"/>
  <c r="T36" i="19"/>
  <c r="AF16" i="19"/>
  <c r="N6" i="19"/>
  <c r="N16" i="19"/>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T10" i="19"/>
  <c r="AF10" i="19"/>
  <c r="T20" i="19"/>
  <c r="N30" i="19"/>
  <c r="Z20" i="19"/>
  <c r="AF50" i="19"/>
  <c r="T50" i="19"/>
  <c r="AL30" i="19"/>
  <c r="T40" i="19"/>
  <c r="AF40" i="19"/>
  <c r="AF30" i="19"/>
  <c r="N50" i="19"/>
  <c r="AL40" i="19"/>
  <c r="AL20" i="19"/>
  <c r="Z10" i="19"/>
  <c r="AF20" i="19"/>
  <c r="N10" i="19"/>
  <c r="Z50" i="19"/>
  <c r="AL50" i="19"/>
  <c r="N40" i="19"/>
  <c r="T30" i="19"/>
  <c r="Z30" i="19"/>
  <c r="AL10" i="19"/>
  <c r="N20" i="19"/>
  <c r="AH12" i="18" l="1"/>
  <c r="AH20" i="18"/>
  <c r="V12" i="18"/>
  <c r="AB20" i="18"/>
  <c r="J20" i="18"/>
  <c r="P44" i="18"/>
  <c r="V28" i="18"/>
  <c r="J28" i="18"/>
  <c r="J44" i="18"/>
  <c r="AB12" i="18"/>
  <c r="AH44" i="18"/>
  <c r="P20" i="18"/>
  <c r="AB28" i="18"/>
  <c r="P28" i="18"/>
  <c r="AH28" i="18"/>
  <c r="V36" i="18"/>
  <c r="P12" i="18"/>
  <c r="V20" i="18"/>
  <c r="AB36" i="18"/>
  <c r="P36" i="18"/>
  <c r="J12" i="18"/>
  <c r="AB44" i="18"/>
  <c r="AH36" i="18"/>
  <c r="V44" i="18"/>
  <c r="J36" i="18"/>
  <c r="AH34" i="18"/>
  <c r="AH18" i="18"/>
  <c r="J26" i="18"/>
  <c r="V42" i="18"/>
  <c r="P10" i="18"/>
  <c r="J34" i="18"/>
  <c r="AH10" i="18"/>
  <c r="P26" i="18"/>
  <c r="V34" i="18"/>
  <c r="J10" i="18"/>
  <c r="P18" i="18"/>
  <c r="V10" i="18"/>
  <c r="P42" i="18"/>
  <c r="AH42" i="18"/>
  <c r="AB10" i="18"/>
  <c r="V18" i="18"/>
  <c r="J42" i="18"/>
  <c r="AB26" i="18"/>
  <c r="J18" i="18"/>
  <c r="AB34" i="18"/>
  <c r="P34" i="18"/>
  <c r="AH26" i="18"/>
  <c r="AB42" i="18"/>
  <c r="AB18" i="18"/>
  <c r="V26" i="18"/>
  <c r="AF22" i="18"/>
  <c r="AF30" i="18"/>
  <c r="Z6" i="18"/>
  <c r="T14" i="18"/>
  <c r="N6" i="18"/>
  <c r="Z22" i="18"/>
  <c r="AL38" i="18"/>
  <c r="AF6" i="18"/>
  <c r="T30" i="18"/>
  <c r="AF14" i="18"/>
  <c r="N14" i="18"/>
  <c r="AF38" i="18"/>
  <c r="T38" i="18"/>
  <c r="AL6" i="18"/>
  <c r="T22" i="18"/>
  <c r="Z14" i="18"/>
  <c r="AL14" i="18"/>
  <c r="Z38" i="18"/>
  <c r="N22" i="18"/>
  <c r="N38" i="18"/>
  <c r="AL30" i="18"/>
  <c r="Z30" i="18"/>
  <c r="AL22" i="18"/>
  <c r="N30" i="18"/>
  <c r="T6" i="18"/>
  <c r="Z32" i="18"/>
  <c r="AL32" i="18"/>
  <c r="N8" i="18"/>
  <c r="Z40" i="18"/>
  <c r="N32" i="18"/>
  <c r="N40" i="18"/>
  <c r="AL8" i="18"/>
  <c r="N16" i="18"/>
  <c r="Z24" i="18"/>
  <c r="AF8" i="18"/>
  <c r="Z8" i="18"/>
  <c r="AL16" i="18"/>
  <c r="N24" i="18"/>
  <c r="AF24" i="18"/>
  <c r="T32" i="18"/>
  <c r="AF32" i="18"/>
  <c r="T16" i="18"/>
  <c r="T40" i="18"/>
  <c r="AF40" i="18"/>
  <c r="AL40" i="18"/>
  <c r="Z16" i="18"/>
  <c r="T8" i="18"/>
  <c r="T24" i="18"/>
  <c r="AF16" i="18"/>
  <c r="AL24" i="18"/>
  <c r="R34" i="18"/>
  <c r="AJ26" i="18"/>
  <c r="X42" i="18"/>
  <c r="R18" i="18"/>
  <c r="L34" i="18"/>
  <c r="X34" i="18"/>
  <c r="AD34" i="18"/>
  <c r="AJ10" i="18"/>
  <c r="AJ42" i="18"/>
  <c r="AD26" i="18"/>
  <c r="AD10" i="18"/>
  <c r="AD42" i="18"/>
  <c r="R10" i="18"/>
  <c r="R42" i="18"/>
  <c r="L42" i="18"/>
  <c r="X26" i="18"/>
  <c r="L26" i="18"/>
  <c r="AJ18" i="18"/>
  <c r="X18" i="18"/>
  <c r="AJ34" i="18"/>
  <c r="X10" i="18"/>
  <c r="R26" i="18"/>
  <c r="AD18" i="18"/>
  <c r="L10" i="18"/>
  <c r="L18" i="18"/>
  <c r="J40" i="18"/>
  <c r="P16" i="18"/>
  <c r="J8" i="18"/>
  <c r="AH16" i="18"/>
  <c r="AB40" i="18"/>
  <c r="P40" i="18"/>
  <c r="AB32" i="18"/>
  <c r="V16" i="18"/>
  <c r="AH32" i="18"/>
  <c r="V32" i="18"/>
  <c r="AB8" i="18"/>
  <c r="AB24" i="18"/>
  <c r="J16" i="18"/>
  <c r="J24" i="18"/>
  <c r="P32" i="18"/>
  <c r="J32" i="18"/>
  <c r="V24" i="18"/>
  <c r="P8" i="18"/>
  <c r="P24" i="18"/>
  <c r="V8" i="18"/>
  <c r="AB16" i="18"/>
  <c r="AH24" i="18"/>
  <c r="V40" i="18"/>
  <c r="AH8" i="18"/>
  <c r="AH40" i="18"/>
  <c r="Z42" i="18"/>
  <c r="AF26" i="18"/>
  <c r="AF18" i="18"/>
  <c r="N34" i="18"/>
  <c r="T18" i="18"/>
  <c r="Z10" i="18"/>
  <c r="Z26" i="18"/>
  <c r="AF34" i="18"/>
  <c r="N18" i="18"/>
  <c r="AL34" i="18"/>
  <c r="AF10" i="18"/>
  <c r="AF42" i="18"/>
  <c r="T26" i="18"/>
  <c r="N42" i="18"/>
  <c r="T10" i="18"/>
  <c r="Z18" i="18"/>
  <c r="AL10" i="18"/>
  <c r="AL42" i="18"/>
  <c r="AL26" i="18"/>
  <c r="N26" i="18"/>
  <c r="T34" i="18"/>
  <c r="AL18" i="18"/>
  <c r="T42" i="18"/>
  <c r="N10" i="18"/>
  <c r="Z34" i="18"/>
  <c r="J6" i="18"/>
  <c r="AH30" i="18"/>
  <c r="AH14" i="18"/>
  <c r="J30" i="18"/>
  <c r="P30" i="18"/>
  <c r="J22" i="18"/>
  <c r="AH38" i="18"/>
  <c r="P38" i="18"/>
  <c r="AH22" i="18"/>
  <c r="V38" i="18"/>
  <c r="J14" i="18"/>
  <c r="AB6" i="18"/>
  <c r="P6" i="18"/>
  <c r="AB38" i="18"/>
  <c r="P14" i="18"/>
  <c r="AB22" i="18"/>
  <c r="J38" i="18"/>
  <c r="P22" i="18"/>
  <c r="V22" i="18"/>
  <c r="V30" i="18"/>
  <c r="AH6" i="18"/>
  <c r="AB30" i="18"/>
  <c r="V14" i="18"/>
  <c r="AB14" i="18"/>
  <c r="V6" i="18"/>
  <c r="Y30" i="19" l="1"/>
  <c r="Y20" i="19"/>
  <c r="M10" i="19"/>
  <c r="AK10" i="19"/>
  <c r="Y40" i="19"/>
  <c r="AE30" i="19"/>
  <c r="M30" i="19"/>
  <c r="AE20" i="19"/>
  <c r="S10" i="19"/>
  <c r="S30" i="19"/>
  <c r="AE10" i="19"/>
  <c r="M50" i="19"/>
  <c r="AE40" i="19"/>
  <c r="M20" i="19"/>
  <c r="M40" i="19"/>
  <c r="AK20" i="19"/>
  <c r="AK30" i="19"/>
  <c r="S40" i="19"/>
  <c r="Y10" i="19"/>
  <c r="AE50" i="19"/>
  <c r="S50" i="19"/>
  <c r="Y50" i="19"/>
  <c r="AK50" i="19"/>
  <c r="S20" i="19"/>
  <c r="AK40" i="19"/>
  <c r="V25" i="19"/>
  <c r="P45" i="19"/>
  <c r="AH15" i="19"/>
  <c r="J45" i="19"/>
  <c r="V45" i="19"/>
  <c r="V15" i="19"/>
  <c r="V35" i="19"/>
  <c r="P25" i="19"/>
  <c r="J15" i="19"/>
  <c r="J35" i="19"/>
  <c r="J55" i="19"/>
  <c r="P35" i="19"/>
  <c r="AB45" i="19"/>
  <c r="AH25" i="19"/>
  <c r="AH45" i="19"/>
  <c r="AB55" i="19"/>
  <c r="AH35" i="19"/>
  <c r="AH55" i="19"/>
  <c r="J25" i="19"/>
  <c r="V55" i="19"/>
  <c r="AB15" i="19"/>
  <c r="AB35" i="19"/>
  <c r="AB25" i="19"/>
  <c r="P55" i="19"/>
  <c r="P15" i="19"/>
  <c r="R40" i="19" l="1"/>
  <c r="X40" i="19"/>
  <c r="R50" i="19"/>
  <c r="R30" i="19"/>
  <c r="L50" i="19"/>
  <c r="AJ40" i="19"/>
  <c r="R20" i="19"/>
  <c r="AJ30" i="19"/>
  <c r="X30" i="19"/>
  <c r="L40" i="19"/>
  <c r="X20" i="19"/>
  <c r="R10" i="19"/>
  <c r="L20" i="19"/>
  <c r="AD10" i="19"/>
  <c r="AJ10" i="19"/>
  <c r="X10" i="19"/>
  <c r="L10" i="19"/>
  <c r="AJ20" i="19"/>
  <c r="AD30" i="19"/>
  <c r="AD50" i="19"/>
  <c r="AJ50" i="19"/>
  <c r="AD20" i="19"/>
  <c r="X50" i="19"/>
  <c r="AD40" i="19"/>
  <c r="L30" i="19"/>
  <c r="AB36" i="19"/>
  <c r="P16" i="19"/>
  <c r="J6" i="19"/>
  <c r="V26" i="19"/>
  <c r="AB6" i="19"/>
  <c r="P6" i="19"/>
  <c r="P46" i="19"/>
  <c r="AH36" i="19"/>
  <c r="P36" i="19"/>
  <c r="AH6" i="19"/>
  <c r="AB26" i="19"/>
  <c r="P26" i="19"/>
  <c r="J36" i="19"/>
  <c r="AH16" i="19"/>
  <c r="V46" i="19"/>
  <c r="AB16" i="19"/>
  <c r="V16" i="19"/>
  <c r="J26" i="19"/>
  <c r="AH46" i="19"/>
  <c r="AH26" i="19"/>
  <c r="V36" i="19"/>
  <c r="V6" i="19"/>
  <c r="AB46" i="19"/>
  <c r="J16" i="19"/>
  <c r="J46" i="19"/>
  <c r="AC69" i="1" l="1"/>
  <c r="AD17" i="19" s="1"/>
  <c r="AD69" i="1"/>
  <c r="X27" i="19" l="1"/>
  <c r="L37" i="19"/>
  <c r="AD37" i="19"/>
  <c r="R7" i="19"/>
  <c r="R17" i="19"/>
  <c r="AD47" i="19"/>
  <c r="AD27" i="19"/>
  <c r="X17" i="19"/>
  <c r="AJ17" i="19"/>
  <c r="AJ27" i="19"/>
  <c r="AJ47" i="19"/>
  <c r="X7" i="19"/>
  <c r="R47" i="19"/>
  <c r="L47" i="19"/>
  <c r="X47" i="19"/>
  <c r="AJ7" i="19"/>
  <c r="R37" i="19"/>
  <c r="L7" i="19"/>
  <c r="AJ37" i="19"/>
  <c r="AG69" i="1"/>
  <c r="AD7" i="19"/>
  <c r="L17" i="19"/>
  <c r="L27" i="19"/>
  <c r="X37" i="19"/>
  <c r="R27" i="19"/>
  <c r="B223" i="13"/>
  <c r="B222" i="13"/>
  <c r="O63" i="1" l="1"/>
  <c r="P63" i="1" s="1"/>
  <c r="O89" i="1"/>
  <c r="P89" i="1" s="1"/>
  <c r="Q89" i="1" l="1"/>
  <c r="AD24" i="18"/>
  <c r="X24" i="18"/>
  <c r="AJ8" i="18"/>
  <c r="R89" i="1"/>
  <c r="R24" i="18"/>
  <c r="X32" i="18"/>
  <c r="AJ24" i="18"/>
  <c r="AD8" i="18"/>
  <c r="R32" i="18"/>
  <c r="L32" i="18"/>
  <c r="L40" i="18"/>
  <c r="AJ40" i="18"/>
  <c r="AD16" i="18"/>
  <c r="AD32" i="18"/>
  <c r="L24" i="18"/>
  <c r="AJ16" i="18"/>
  <c r="X8" i="18"/>
  <c r="L16" i="18"/>
  <c r="L8" i="18"/>
  <c r="R16" i="18"/>
  <c r="AJ32" i="18"/>
  <c r="X40" i="18"/>
  <c r="R8" i="18"/>
  <c r="R40" i="18"/>
  <c r="X16" i="18"/>
  <c r="AD40" i="18"/>
  <c r="X6" i="18"/>
  <c r="AD14" i="18"/>
  <c r="AJ30" i="18"/>
  <c r="AJ6" i="18"/>
  <c r="X14" i="18"/>
  <c r="AD22" i="18"/>
  <c r="Q63" i="1"/>
  <c r="L6" i="18"/>
  <c r="X22" i="18"/>
  <c r="AJ22" i="18"/>
  <c r="R63" i="1"/>
  <c r="R38" i="18"/>
  <c r="R14" i="18"/>
  <c r="X38" i="18"/>
  <c r="L38" i="18"/>
  <c r="L30" i="18"/>
  <c r="R22" i="18"/>
  <c r="AD38" i="18"/>
  <c r="R6" i="18"/>
  <c r="L22" i="18"/>
  <c r="X30" i="18"/>
  <c r="AD30" i="18"/>
  <c r="R30" i="18"/>
  <c r="AJ38" i="18"/>
  <c r="L14" i="18"/>
  <c r="AJ14" i="18"/>
  <c r="AD6" i="18"/>
  <c r="AF64" i="1" l="1"/>
  <c r="AE64" i="1" s="1"/>
  <c r="AG64" i="1" s="1"/>
  <c r="AF63" i="1"/>
  <c r="AE63" i="1" s="1"/>
  <c r="AF65" i="1"/>
  <c r="AE65" i="1" s="1"/>
  <c r="AG65" i="1" s="1"/>
  <c r="AF91" i="1"/>
  <c r="AE91" i="1" s="1"/>
  <c r="AF89" i="1"/>
  <c r="AE89" i="1" s="1"/>
  <c r="AF90" i="1"/>
  <c r="AE90" i="1" s="1"/>
  <c r="AG90" i="1" s="1"/>
  <c r="W10" i="19" l="1"/>
  <c r="AC30" i="19"/>
  <c r="AI40" i="19"/>
  <c r="AI50" i="19"/>
  <c r="W50" i="19"/>
  <c r="AC10" i="19"/>
  <c r="K30" i="19"/>
  <c r="W20" i="19"/>
  <c r="K50" i="19"/>
  <c r="Q50" i="19"/>
  <c r="Q30" i="19"/>
  <c r="Q40" i="19"/>
  <c r="Q10" i="19"/>
  <c r="AC40" i="19"/>
  <c r="K40" i="19"/>
  <c r="AG91" i="1"/>
  <c r="AI30" i="19"/>
  <c r="AC50" i="19"/>
  <c r="Q20" i="19"/>
  <c r="K20" i="19"/>
  <c r="W30" i="19"/>
  <c r="AC20" i="19"/>
  <c r="AI20" i="19"/>
  <c r="AI10" i="19"/>
  <c r="W40" i="19"/>
  <c r="K10" i="19"/>
  <c r="AG63" i="1"/>
  <c r="V37" i="19"/>
  <c r="AH7" i="19"/>
  <c r="J27" i="19"/>
  <c r="AB7" i="19"/>
  <c r="AB47" i="19"/>
  <c r="V47" i="19"/>
  <c r="P37" i="19"/>
  <c r="P47" i="19"/>
  <c r="V7" i="19"/>
  <c r="J47" i="19"/>
  <c r="J37" i="19"/>
  <c r="P17" i="19"/>
  <c r="AH17" i="19"/>
  <c r="AB27" i="19"/>
  <c r="AH37" i="19"/>
  <c r="AB17" i="19"/>
  <c r="AB37" i="19"/>
  <c r="V17" i="19"/>
  <c r="P7" i="19"/>
  <c r="P27" i="19"/>
  <c r="J7" i="19"/>
  <c r="V27" i="19"/>
  <c r="AH47" i="19"/>
  <c r="AH27" i="19"/>
  <c r="J17" i="19"/>
  <c r="AG89" i="1"/>
  <c r="J50" i="19"/>
  <c r="AB20" i="19"/>
  <c r="P30" i="19"/>
  <c r="V10" i="19"/>
  <c r="AB10" i="19"/>
  <c r="P10" i="19"/>
  <c r="V40" i="19"/>
  <c r="V50" i="19"/>
  <c r="AB40" i="19"/>
  <c r="AH20" i="19"/>
  <c r="AB50" i="19"/>
  <c r="J30" i="19"/>
  <c r="AH10" i="19"/>
  <c r="J10" i="19"/>
  <c r="P20" i="19"/>
  <c r="V30" i="19"/>
  <c r="J40" i="19"/>
  <c r="P50" i="19"/>
  <c r="P40" i="19"/>
  <c r="AH40" i="19"/>
  <c r="V20" i="19"/>
  <c r="AH50" i="19"/>
  <c r="AB30" i="19"/>
  <c r="J20" i="19"/>
  <c r="AH30" i="1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LAURA</author>
  </authors>
  <commentList>
    <comment ref="AR8" authorId="0" shapeId="0" xr:uid="{00000000-0006-0000-0200-000001000000}">
      <text>
        <r>
          <rPr>
            <b/>
            <sz val="10"/>
            <color rgb="FF000000"/>
            <rFont val="Tahoma"/>
            <family val="2"/>
          </rPr>
          <t xml:space="preserve">RUBER: 
</t>
        </r>
        <r>
          <rPr>
            <b/>
            <sz val="10"/>
            <color rgb="FF000000"/>
            <rFont val="Arial"/>
            <family val="2"/>
          </rPr>
          <t>HONESTIDAD</t>
        </r>
        <r>
          <rPr>
            <sz val="10"/>
            <color rgb="FF000000"/>
            <rFont val="Arial"/>
            <family val="2"/>
          </rPr>
          <t xml:space="preserve"> Actúo siempre con fundamento en la verdad, cumpliendo mis deberes con transparencia y rectitud, y siempre favoreciendo el interés general.
</t>
        </r>
      </text>
    </comment>
    <comment ref="AS8" authorId="0" shapeId="0" xr:uid="{00000000-0006-0000-0200-000002000000}">
      <text>
        <r>
          <rPr>
            <b/>
            <sz val="10"/>
            <color rgb="FF000000"/>
            <rFont val="Tahoma"/>
            <family val="2"/>
          </rPr>
          <t xml:space="preserve">RUBER: 
</t>
        </r>
        <r>
          <rPr>
            <b/>
            <sz val="10"/>
            <color rgb="FF000000"/>
            <rFont val="Arial"/>
            <family val="2"/>
          </rPr>
          <t>RESPETO:</t>
        </r>
        <r>
          <rPr>
            <sz val="10"/>
            <color rgb="FF000000"/>
            <rFont val="Arial"/>
            <family val="2"/>
          </rPr>
          <t xml:space="preserve"> Reconozco, valoro y trato de manera digna a todas las personas, con sus virtudes y defectos, sin importar su labor, su procedencia, títulos o cualquier otra condición.</t>
        </r>
        <r>
          <rPr>
            <sz val="10"/>
            <color rgb="FF000000"/>
            <rFont val="Tahoma"/>
            <family val="2"/>
          </rPr>
          <t xml:space="preserve">
</t>
        </r>
      </text>
    </comment>
    <comment ref="AT8" authorId="0" shapeId="0" xr:uid="{00000000-0006-0000-0200-000003000000}">
      <text>
        <r>
          <rPr>
            <b/>
            <sz val="10"/>
            <color rgb="FF000000"/>
            <rFont val="Tahoma"/>
            <family val="2"/>
          </rPr>
          <t xml:space="preserve">RUBER:
</t>
        </r>
        <r>
          <rPr>
            <b/>
            <sz val="10"/>
            <color rgb="FF000000"/>
            <rFont val="Arial"/>
            <family val="2"/>
          </rPr>
          <t>COMPROMISO</t>
        </r>
        <r>
          <rPr>
            <sz val="10"/>
            <color rgb="FF000000"/>
            <rFont val="Arial"/>
            <family val="2"/>
          </rPr>
          <t>: Soy consciente de la importancia de mi rol como servidor público y estoy en disposición permanente para comprender y resolver las necesidades de las personas con las que me relaciono en mis labores cotidianas, buscando siempre mejorar su bienestar.</t>
        </r>
      </text>
    </comment>
    <comment ref="AU8" authorId="0" shapeId="0" xr:uid="{00000000-0006-0000-0200-000004000000}">
      <text>
        <r>
          <rPr>
            <b/>
            <sz val="10"/>
            <color rgb="FF000000"/>
            <rFont val="Tahoma"/>
            <family val="2"/>
          </rPr>
          <t xml:space="preserve">RUBER:
</t>
        </r>
        <r>
          <rPr>
            <b/>
            <sz val="10"/>
            <color rgb="FFFF0000"/>
            <rFont val="Arial"/>
            <family val="2"/>
          </rPr>
          <t>DILIGENCIA:</t>
        </r>
        <r>
          <rPr>
            <sz val="10"/>
            <color rgb="FFFF0000"/>
            <rFont val="Arial"/>
            <family val="2"/>
          </rPr>
          <t xml:space="preserve"> Cumplo con los deberes, funciones y responsabilidades asignadas a mi cargo de la mejor manera posible, con atención, prontitud, destreza y eficiencia, para así optimizar el uso de los recursos del Estado.</t>
        </r>
        <r>
          <rPr>
            <sz val="10"/>
            <color rgb="FFFF0000"/>
            <rFont val="Tahoma"/>
            <family val="2"/>
          </rPr>
          <t xml:space="preserve">
</t>
        </r>
      </text>
    </comment>
    <comment ref="AV8" authorId="0" shapeId="0" xr:uid="{00000000-0006-0000-0200-000005000000}">
      <text>
        <r>
          <rPr>
            <b/>
            <sz val="10"/>
            <color rgb="FF000000"/>
            <rFont val="Tahoma"/>
            <family val="2"/>
          </rPr>
          <t xml:space="preserve">RUBER:
</t>
        </r>
        <r>
          <rPr>
            <b/>
            <sz val="10"/>
            <color rgb="FF000000"/>
            <rFont val="Arial"/>
            <family val="2"/>
          </rPr>
          <t>JUSTICIA:</t>
        </r>
        <r>
          <rPr>
            <sz val="10"/>
            <color rgb="FF000000"/>
            <rFont val="Arial"/>
            <family val="2"/>
          </rPr>
          <t xml:space="preserve"> Actúo con imparcialidad garantizando los derechos de las personas, con equidad, igualdad y sin discriminación. </t>
        </r>
        <r>
          <rPr>
            <sz val="10"/>
            <color rgb="FF000000"/>
            <rFont val="Tahoma"/>
            <family val="2"/>
          </rPr>
          <t xml:space="preserve">
</t>
        </r>
      </text>
    </comment>
    <comment ref="K24" authorId="1" shapeId="0" xr:uid="{AA5C19E2-5EA2-4338-8AA5-0AE977C611E9}">
      <text>
        <r>
          <rPr>
            <b/>
            <sz val="9"/>
            <color indexed="81"/>
            <rFont val="Tahoma"/>
            <family val="2"/>
          </rPr>
          <t>LAURA:</t>
        </r>
        <r>
          <rPr>
            <sz val="9"/>
            <color indexed="81"/>
            <rFont val="Tahoma"/>
            <family val="2"/>
          </rPr>
          <t xml:space="preserve">
Registrar el número de proyectos de la vigencia pasada que se formularon</t>
        </r>
      </text>
    </comment>
    <comment ref="F27" authorId="1" shapeId="0" xr:uid="{D1419F6F-E0B2-417B-BDD8-A6421F72D41D}">
      <text>
        <r>
          <rPr>
            <b/>
            <sz val="9"/>
            <color indexed="81"/>
            <rFont val="Tahoma"/>
            <family val="2"/>
          </rPr>
          <t>LAURA:</t>
        </r>
        <r>
          <rPr>
            <sz val="9"/>
            <color indexed="81"/>
            <rFont val="Tahoma"/>
            <family val="2"/>
          </rPr>
          <t xml:space="preserve">
Cual impacto ?' definir ??</t>
        </r>
      </text>
    </comment>
    <comment ref="AM27" authorId="1" shapeId="0" xr:uid="{1FE33A3E-C86C-49FD-A2FC-9AC3B8E41F28}">
      <text>
        <r>
          <rPr>
            <b/>
            <sz val="9"/>
            <color indexed="81"/>
            <rFont val="Tahoma"/>
            <family val="2"/>
          </rPr>
          <t>LAURA:</t>
        </r>
        <r>
          <rPr>
            <sz val="9"/>
            <color indexed="81"/>
            <rFont val="Tahoma"/>
            <family val="2"/>
          </rPr>
          <t xml:space="preserve">
Que actividades se han hecho???</t>
        </r>
      </text>
    </comment>
    <comment ref="AM39" authorId="1" shapeId="0" xr:uid="{00000000-0006-0000-0200-000007000000}">
      <text>
        <r>
          <rPr>
            <b/>
            <sz val="9"/>
            <color indexed="81"/>
            <rFont val="Tahoma"/>
            <family val="2"/>
          </rPr>
          <t>LAURA:</t>
        </r>
        <r>
          <rPr>
            <sz val="9"/>
            <color indexed="81"/>
            <rFont val="Tahoma"/>
            <family val="2"/>
          </rPr>
          <t xml:space="preserve">
evidencia</t>
        </r>
      </text>
    </comment>
    <comment ref="AM41" authorId="1" shapeId="0" xr:uid="{00000000-0006-0000-0200-000009000000}">
      <text>
        <r>
          <rPr>
            <b/>
            <sz val="9"/>
            <color indexed="81"/>
            <rFont val="Tahoma"/>
            <family val="2"/>
          </rPr>
          <t>LAURA:</t>
        </r>
        <r>
          <rPr>
            <sz val="9"/>
            <color indexed="81"/>
            <rFont val="Tahoma"/>
            <family val="2"/>
          </rPr>
          <t xml:space="preserve">
evidencia</t>
        </r>
      </text>
    </comment>
    <comment ref="AM43" authorId="1" shapeId="0" xr:uid="{C0D59B32-457A-4142-9B9D-FE4D6C903BEB}">
      <text>
        <r>
          <rPr>
            <b/>
            <sz val="9"/>
            <color indexed="81"/>
            <rFont val="Tahoma"/>
            <family val="2"/>
          </rPr>
          <t>LAURA:</t>
        </r>
        <r>
          <rPr>
            <sz val="9"/>
            <color indexed="81"/>
            <rFont val="Tahoma"/>
            <family val="2"/>
          </rPr>
          <t xml:space="preserve">
evidencia</t>
        </r>
      </text>
    </comment>
    <comment ref="AM44" authorId="1" shapeId="0" xr:uid="{F1F0D642-199D-044D-B39B-11DE356A65CC}">
      <text>
        <r>
          <rPr>
            <b/>
            <sz val="9"/>
            <color indexed="81"/>
            <rFont val="Tahoma"/>
            <family val="2"/>
          </rPr>
          <t>LAURA:</t>
        </r>
        <r>
          <rPr>
            <sz val="9"/>
            <color indexed="81"/>
            <rFont val="Tahoma"/>
            <family val="2"/>
          </rPr>
          <t xml:space="preserve">
evidencia</t>
        </r>
      </text>
    </comment>
    <comment ref="AM46" authorId="1" shapeId="0" xr:uid="{00000000-0006-0000-0200-00000B000000}">
      <text>
        <r>
          <rPr>
            <b/>
            <sz val="9"/>
            <color indexed="81"/>
            <rFont val="Tahoma"/>
            <family val="2"/>
          </rPr>
          <t>LAURA:</t>
        </r>
        <r>
          <rPr>
            <sz val="9"/>
            <color indexed="81"/>
            <rFont val="Tahoma"/>
            <family val="2"/>
          </rPr>
          <t xml:space="preserve">
evidencia</t>
        </r>
      </text>
    </comment>
    <comment ref="AM47" authorId="1" shapeId="0" xr:uid="{00000000-0006-0000-0200-00000C000000}">
      <text>
        <r>
          <rPr>
            <b/>
            <sz val="9"/>
            <color indexed="81"/>
            <rFont val="Tahoma"/>
            <family val="2"/>
          </rPr>
          <t>LAURA:</t>
        </r>
        <r>
          <rPr>
            <sz val="9"/>
            <color indexed="81"/>
            <rFont val="Tahoma"/>
            <family val="2"/>
          </rPr>
          <t xml:space="preserve">
evidencia</t>
        </r>
      </text>
    </comment>
    <comment ref="AM80" authorId="1" shapeId="0" xr:uid="{31CC9B04-A56A-4B91-B9D2-4B52736191DB}">
      <text>
        <r>
          <rPr>
            <b/>
            <sz val="9"/>
            <color indexed="81"/>
            <rFont val="Tahoma"/>
            <family val="2"/>
          </rPr>
          <t>LAURA:</t>
        </r>
        <r>
          <rPr>
            <sz val="9"/>
            <color indexed="81"/>
            <rFont val="Tahoma"/>
            <family val="2"/>
          </rPr>
          <t xml:space="preserve">
Que actividades se han hecho???</t>
        </r>
      </text>
    </comment>
    <comment ref="AM81" authorId="1" shapeId="0" xr:uid="{3599CC7E-4289-4B0C-A4BF-29EE62C32E96}">
      <text>
        <r>
          <rPr>
            <b/>
            <sz val="9"/>
            <color indexed="81"/>
            <rFont val="Tahoma"/>
            <family val="2"/>
          </rPr>
          <t>LAURA:</t>
        </r>
        <r>
          <rPr>
            <sz val="9"/>
            <color indexed="81"/>
            <rFont val="Tahoma"/>
            <family val="2"/>
          </rPr>
          <t xml:space="preserve">
Que actividades se han hecho???</t>
        </r>
      </text>
    </comment>
    <comment ref="AM82" authorId="1" shapeId="0" xr:uid="{D505581D-F497-4431-904E-58C20D7DDEF5}">
      <text>
        <r>
          <rPr>
            <b/>
            <sz val="9"/>
            <color indexed="81"/>
            <rFont val="Tahoma"/>
            <family val="2"/>
          </rPr>
          <t>LAURA:</t>
        </r>
        <r>
          <rPr>
            <sz val="9"/>
            <color indexed="81"/>
            <rFont val="Tahoma"/>
            <family val="2"/>
          </rPr>
          <t xml:space="preserve">
Que actividades se han hecho???</t>
        </r>
      </text>
    </comment>
    <comment ref="AM83" authorId="1" shapeId="0" xr:uid="{ECBFB39A-D64C-446D-97B9-EA353B88F3F0}">
      <text>
        <r>
          <rPr>
            <b/>
            <sz val="9"/>
            <color indexed="81"/>
            <rFont val="Tahoma"/>
            <family val="2"/>
          </rPr>
          <t>LAURA:</t>
        </r>
        <r>
          <rPr>
            <sz val="9"/>
            <color indexed="81"/>
            <rFont val="Tahoma"/>
            <family val="2"/>
          </rPr>
          <t xml:space="preserve">
Que actividades se han hecho???</t>
        </r>
      </text>
    </comment>
    <comment ref="AM84" authorId="1" shapeId="0" xr:uid="{FB1D995C-A83A-4507-A00D-73CF920DC23D}">
      <text>
        <r>
          <rPr>
            <b/>
            <sz val="9"/>
            <color indexed="81"/>
            <rFont val="Tahoma"/>
            <family val="2"/>
          </rPr>
          <t>LAURA:</t>
        </r>
        <r>
          <rPr>
            <sz val="9"/>
            <color indexed="81"/>
            <rFont val="Tahoma"/>
            <family val="2"/>
          </rPr>
          <t xml:space="preserve">
Que actividades se han hecho???</t>
        </r>
      </text>
    </comment>
    <comment ref="AM85" authorId="1" shapeId="0" xr:uid="{1F63E6DA-8DFA-4CEA-8513-B4F0F522A51C}">
      <text>
        <r>
          <rPr>
            <b/>
            <sz val="9"/>
            <color indexed="81"/>
            <rFont val="Tahoma"/>
            <family val="2"/>
          </rPr>
          <t>LAURA:</t>
        </r>
        <r>
          <rPr>
            <sz val="9"/>
            <color indexed="81"/>
            <rFont val="Tahoma"/>
            <family val="2"/>
          </rPr>
          <t xml:space="preserve">
Que actividades se han hecho???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LAURA</author>
  </authors>
  <commentList>
    <comment ref="AR8" authorId="0" shapeId="0" xr:uid="{43D90315-9EC3-4D8A-83B9-6651EDC0B089}">
      <text>
        <r>
          <rPr>
            <b/>
            <sz val="10"/>
            <color rgb="FF000000"/>
            <rFont val="Tahoma"/>
            <family val="2"/>
          </rPr>
          <t xml:space="preserve">RUBER: 
</t>
        </r>
        <r>
          <rPr>
            <b/>
            <sz val="10"/>
            <color rgb="FF000000"/>
            <rFont val="Arial"/>
            <family val="2"/>
          </rPr>
          <t>HONESTIDAD</t>
        </r>
        <r>
          <rPr>
            <sz val="10"/>
            <color rgb="FF000000"/>
            <rFont val="Arial"/>
            <family val="2"/>
          </rPr>
          <t xml:space="preserve"> Actúo siempre con fundamento en la verdad, cumpliendo mis deberes con transparencia y rectitud, y siempre favoreciendo el interés general.
</t>
        </r>
      </text>
    </comment>
    <comment ref="AS8" authorId="0" shapeId="0" xr:uid="{3733C668-2AE9-4F5E-841B-EA923B8EDB35}">
      <text>
        <r>
          <rPr>
            <b/>
            <sz val="10"/>
            <color rgb="FF000000"/>
            <rFont val="Tahoma"/>
            <family val="2"/>
          </rPr>
          <t xml:space="preserve">RUBER: 
</t>
        </r>
        <r>
          <rPr>
            <b/>
            <sz val="10"/>
            <color rgb="FF000000"/>
            <rFont val="Arial"/>
            <family val="2"/>
          </rPr>
          <t>RESPETO:</t>
        </r>
        <r>
          <rPr>
            <sz val="10"/>
            <color rgb="FF000000"/>
            <rFont val="Arial"/>
            <family val="2"/>
          </rPr>
          <t xml:space="preserve"> Reconozco, valoro y trato de manera digna a todas las personas, con sus virtudes y defectos, sin importar su labor, su procedencia, títulos o cualquier otra condición.</t>
        </r>
        <r>
          <rPr>
            <sz val="10"/>
            <color rgb="FF000000"/>
            <rFont val="Tahoma"/>
            <family val="2"/>
          </rPr>
          <t xml:space="preserve">
</t>
        </r>
      </text>
    </comment>
    <comment ref="AT8" authorId="0" shapeId="0" xr:uid="{1DA94F84-46C6-4C00-805B-95AA70FA9484}">
      <text>
        <r>
          <rPr>
            <b/>
            <sz val="10"/>
            <color rgb="FF000000"/>
            <rFont val="Tahoma"/>
            <family val="2"/>
          </rPr>
          <t xml:space="preserve">RUBER:
</t>
        </r>
        <r>
          <rPr>
            <b/>
            <sz val="10"/>
            <color rgb="FF000000"/>
            <rFont val="Arial"/>
            <family val="2"/>
          </rPr>
          <t>COMPROMISO</t>
        </r>
        <r>
          <rPr>
            <sz val="10"/>
            <color rgb="FF000000"/>
            <rFont val="Arial"/>
            <family val="2"/>
          </rPr>
          <t>: Soy consciente de la importancia de mi rol como servidor público y estoy en disposición permanente para comprender y resolver las necesidades de las personas con las que me relaciono en mis labores cotidianas, buscando siempre mejorar su bienestar.</t>
        </r>
      </text>
    </comment>
    <comment ref="AU8" authorId="0" shapeId="0" xr:uid="{37E8EA19-4CF3-449A-9D54-48BEAF47E231}">
      <text>
        <r>
          <rPr>
            <b/>
            <sz val="10"/>
            <color rgb="FF000000"/>
            <rFont val="Tahoma"/>
            <family val="2"/>
          </rPr>
          <t xml:space="preserve">RUBER:
</t>
        </r>
        <r>
          <rPr>
            <b/>
            <sz val="10"/>
            <color rgb="FFFF0000"/>
            <rFont val="Arial"/>
            <family val="2"/>
          </rPr>
          <t>DILIGENCIA:</t>
        </r>
        <r>
          <rPr>
            <sz val="10"/>
            <color rgb="FFFF0000"/>
            <rFont val="Arial"/>
            <family val="2"/>
          </rPr>
          <t xml:space="preserve"> Cumplo con los deberes, funciones y responsabilidades asignadas a mi cargo de la mejor manera posible, con atención, prontitud, destreza y eficiencia, para así optimizar el uso de los recursos del Estado.</t>
        </r>
        <r>
          <rPr>
            <sz val="10"/>
            <color rgb="FFFF0000"/>
            <rFont val="Tahoma"/>
            <family val="2"/>
          </rPr>
          <t xml:space="preserve">
</t>
        </r>
      </text>
    </comment>
    <comment ref="AV8" authorId="0" shapeId="0" xr:uid="{1CD8030B-3BAA-40FF-893B-918A45741A57}">
      <text>
        <r>
          <rPr>
            <b/>
            <sz val="10"/>
            <color rgb="FF000000"/>
            <rFont val="Tahoma"/>
            <family val="2"/>
          </rPr>
          <t xml:space="preserve">RUBER:
</t>
        </r>
        <r>
          <rPr>
            <b/>
            <sz val="10"/>
            <color rgb="FF000000"/>
            <rFont val="Arial"/>
            <family val="2"/>
          </rPr>
          <t>JUSTICIA:</t>
        </r>
        <r>
          <rPr>
            <sz val="10"/>
            <color rgb="FF000000"/>
            <rFont val="Arial"/>
            <family val="2"/>
          </rPr>
          <t xml:space="preserve"> Actúo con imparcialidad garantizando los derechos de las personas, con equidad, igualdad y sin discriminación. </t>
        </r>
        <r>
          <rPr>
            <sz val="10"/>
            <color rgb="FF000000"/>
            <rFont val="Tahoma"/>
            <family val="2"/>
          </rPr>
          <t xml:space="preserve">
</t>
        </r>
      </text>
    </comment>
    <comment ref="AM9" authorId="1" shapeId="0" xr:uid="{51B7763F-03B0-4433-A338-BD05DEA8F297}">
      <text>
        <r>
          <rPr>
            <b/>
            <sz val="9"/>
            <color indexed="81"/>
            <rFont val="Tahoma"/>
            <family val="2"/>
          </rPr>
          <t>LAURA:</t>
        </r>
        <r>
          <rPr>
            <sz val="9"/>
            <color indexed="81"/>
            <rFont val="Tahoma"/>
            <family val="2"/>
          </rPr>
          <t xml:space="preserve">
Que actividades se han hecho???</t>
        </r>
      </text>
    </comment>
    <comment ref="AM10" authorId="1" shapeId="0" xr:uid="{0D6D22B0-97D8-4C90-866C-CA74E29EC66E}">
      <text>
        <r>
          <rPr>
            <b/>
            <sz val="9"/>
            <color indexed="81"/>
            <rFont val="Tahoma"/>
            <family val="2"/>
          </rPr>
          <t>LAURA:</t>
        </r>
        <r>
          <rPr>
            <sz val="9"/>
            <color indexed="81"/>
            <rFont val="Tahoma"/>
            <family val="2"/>
          </rPr>
          <t xml:space="preserve">
Que actividades se han hecho???</t>
        </r>
      </text>
    </comment>
    <comment ref="AM11" authorId="1" shapeId="0" xr:uid="{10722E20-C11A-49AD-898A-1575AA23FDE0}">
      <text>
        <r>
          <rPr>
            <b/>
            <sz val="9"/>
            <color indexed="81"/>
            <rFont val="Tahoma"/>
            <family val="2"/>
          </rPr>
          <t>LAURA:</t>
        </r>
        <r>
          <rPr>
            <sz val="9"/>
            <color indexed="81"/>
            <rFont val="Tahoma"/>
            <family val="2"/>
          </rPr>
          <t xml:space="preserve">
Que actividades se han hecho???</t>
        </r>
      </text>
    </comment>
    <comment ref="AM12" authorId="1" shapeId="0" xr:uid="{4711A4AE-A2F0-4C1C-950F-82C5599EB194}">
      <text>
        <r>
          <rPr>
            <b/>
            <sz val="9"/>
            <color indexed="81"/>
            <rFont val="Tahoma"/>
            <family val="2"/>
          </rPr>
          <t>LAURA:</t>
        </r>
        <r>
          <rPr>
            <sz val="9"/>
            <color indexed="81"/>
            <rFont val="Tahoma"/>
            <family val="2"/>
          </rPr>
          <t xml:space="preserve">
Que actividades se han hecho???</t>
        </r>
      </text>
    </comment>
    <comment ref="AM13" authorId="1" shapeId="0" xr:uid="{E449D448-21BA-4D63-A8DD-2CD3E8E8F781}">
      <text>
        <r>
          <rPr>
            <b/>
            <sz val="9"/>
            <color indexed="81"/>
            <rFont val="Tahoma"/>
            <family val="2"/>
          </rPr>
          <t>LAURA:</t>
        </r>
        <r>
          <rPr>
            <sz val="9"/>
            <color indexed="81"/>
            <rFont val="Tahoma"/>
            <family val="2"/>
          </rPr>
          <t xml:space="preserve">
Que actividades se han hecho???</t>
        </r>
      </text>
    </comment>
    <comment ref="AM14" authorId="1" shapeId="0" xr:uid="{11F01CFD-29CB-4C3F-AE13-6310E1F11A3B}">
      <text>
        <r>
          <rPr>
            <b/>
            <sz val="9"/>
            <color indexed="81"/>
            <rFont val="Tahoma"/>
            <family val="2"/>
          </rPr>
          <t>LAURA:</t>
        </r>
        <r>
          <rPr>
            <sz val="9"/>
            <color indexed="81"/>
            <rFont val="Tahoma"/>
            <family val="2"/>
          </rPr>
          <t xml:space="preserve">
Que actividades se han hecho???</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Microsoft Office User</author>
    <author>LAURA</author>
  </authors>
  <commentList>
    <comment ref="AR8" authorId="0" shapeId="0" xr:uid="{796253DF-FCB9-4CAB-B8E6-0268D1099EFB}">
      <text>
        <r>
          <rPr>
            <b/>
            <sz val="10"/>
            <color rgb="FF000000"/>
            <rFont val="Tahoma"/>
            <family val="2"/>
          </rPr>
          <t xml:space="preserve">RUBER: 
</t>
        </r>
        <r>
          <rPr>
            <b/>
            <sz val="10"/>
            <color rgb="FF000000"/>
            <rFont val="Arial"/>
            <family val="2"/>
          </rPr>
          <t>HONESTIDAD</t>
        </r>
        <r>
          <rPr>
            <sz val="10"/>
            <color rgb="FF000000"/>
            <rFont val="Arial"/>
            <family val="2"/>
          </rPr>
          <t xml:space="preserve"> Actúo siempre con fundamento en la verdad, cumpliendo mis deberes con transparencia y rectitud, y siempre favoreciendo el interés general.
</t>
        </r>
      </text>
    </comment>
    <comment ref="AS8" authorId="0" shapeId="0" xr:uid="{EDD71E37-C2A1-449D-BEEC-B4E6B288A1D2}">
      <text>
        <r>
          <rPr>
            <b/>
            <sz val="10"/>
            <color rgb="FF000000"/>
            <rFont val="Tahoma"/>
            <family val="2"/>
          </rPr>
          <t xml:space="preserve">RUBER: 
</t>
        </r>
        <r>
          <rPr>
            <b/>
            <sz val="10"/>
            <color rgb="FF000000"/>
            <rFont val="Arial"/>
            <family val="2"/>
          </rPr>
          <t>RESPETO:</t>
        </r>
        <r>
          <rPr>
            <sz val="10"/>
            <color rgb="FF000000"/>
            <rFont val="Arial"/>
            <family val="2"/>
          </rPr>
          <t xml:space="preserve"> Reconozco, valoro y trato de manera digna a todas las personas, con sus virtudes y defectos, sin importar su labor, su procedencia, títulos o cualquier otra condición.</t>
        </r>
        <r>
          <rPr>
            <sz val="10"/>
            <color rgb="FF000000"/>
            <rFont val="Tahoma"/>
            <family val="2"/>
          </rPr>
          <t xml:space="preserve">
</t>
        </r>
      </text>
    </comment>
    <comment ref="AT8" authorId="0" shapeId="0" xr:uid="{E2AF343E-0E9F-4E9E-A4D7-899A3BBFA271}">
      <text>
        <r>
          <rPr>
            <b/>
            <sz val="10"/>
            <color rgb="FF000000"/>
            <rFont val="Tahoma"/>
            <family val="2"/>
          </rPr>
          <t xml:space="preserve">RUBER:
</t>
        </r>
        <r>
          <rPr>
            <b/>
            <sz val="10"/>
            <color rgb="FF000000"/>
            <rFont val="Arial"/>
            <family val="2"/>
          </rPr>
          <t>COMPROMISO</t>
        </r>
        <r>
          <rPr>
            <sz val="10"/>
            <color rgb="FF000000"/>
            <rFont val="Arial"/>
            <family val="2"/>
          </rPr>
          <t>: Soy consciente de la importancia de mi rol como servidor público y estoy en disposición permanente para comprender y resolver las necesidades de las personas con las que me relaciono en mis labores cotidianas, buscando siempre mejorar su bienestar.</t>
        </r>
      </text>
    </comment>
    <comment ref="AU8" authorId="0" shapeId="0" xr:uid="{7CE2D121-F24A-46B3-A4B7-1DBDB92D4E4E}">
      <text>
        <r>
          <rPr>
            <b/>
            <sz val="10"/>
            <color rgb="FF000000"/>
            <rFont val="Tahoma"/>
            <family val="2"/>
          </rPr>
          <t xml:space="preserve">RUBER:
</t>
        </r>
        <r>
          <rPr>
            <b/>
            <sz val="10"/>
            <color rgb="FFFF0000"/>
            <rFont val="Arial"/>
            <family val="2"/>
          </rPr>
          <t>DILIGENCIA:</t>
        </r>
        <r>
          <rPr>
            <sz val="10"/>
            <color rgb="FFFF0000"/>
            <rFont val="Arial"/>
            <family val="2"/>
          </rPr>
          <t xml:space="preserve"> Cumplo con los deberes, funciones y responsabilidades asignadas a mi cargo de la mejor manera posible, con atención, prontitud, destreza y eficiencia, para así optimizar el uso de los recursos del Estado.</t>
        </r>
        <r>
          <rPr>
            <sz val="10"/>
            <color rgb="FFFF0000"/>
            <rFont val="Tahoma"/>
            <family val="2"/>
          </rPr>
          <t xml:space="preserve">
</t>
        </r>
      </text>
    </comment>
    <comment ref="AV8" authorId="0" shapeId="0" xr:uid="{E3A4DE1B-B4A8-44E7-85A6-B24B45A7E2A9}">
      <text>
        <r>
          <rPr>
            <b/>
            <sz val="10"/>
            <color rgb="FF000000"/>
            <rFont val="Tahoma"/>
            <family val="2"/>
          </rPr>
          <t xml:space="preserve">RUBER:
</t>
        </r>
        <r>
          <rPr>
            <b/>
            <sz val="10"/>
            <color rgb="FF000000"/>
            <rFont val="Arial"/>
            <family val="2"/>
          </rPr>
          <t>JUSTICIA:</t>
        </r>
        <r>
          <rPr>
            <sz val="10"/>
            <color rgb="FF000000"/>
            <rFont val="Arial"/>
            <family val="2"/>
          </rPr>
          <t xml:space="preserve"> Actúo con imparcialidad garantizando los derechos de las personas, con equidad, igualdad y sin discriminación. </t>
        </r>
        <r>
          <rPr>
            <sz val="10"/>
            <color rgb="FF000000"/>
            <rFont val="Tahoma"/>
            <family val="2"/>
          </rPr>
          <t xml:space="preserve">
</t>
        </r>
      </text>
    </comment>
    <comment ref="AM9" authorId="1" shapeId="0" xr:uid="{D85A0EA6-DFCA-4D37-800D-07559C9A7BF3}">
      <text>
        <r>
          <rPr>
            <b/>
            <sz val="9"/>
            <color indexed="81"/>
            <rFont val="Tahoma"/>
            <family val="2"/>
          </rPr>
          <t>LAURA:</t>
        </r>
        <r>
          <rPr>
            <sz val="9"/>
            <color indexed="81"/>
            <rFont val="Tahoma"/>
            <family val="2"/>
          </rPr>
          <t xml:space="preserve">
evidencia</t>
        </r>
      </text>
    </comment>
    <comment ref="AM11" authorId="1" shapeId="0" xr:uid="{00DA32C3-27AD-4850-BF21-6EC7A1031002}">
      <text>
        <r>
          <rPr>
            <b/>
            <sz val="9"/>
            <color indexed="81"/>
            <rFont val="Tahoma"/>
            <family val="2"/>
          </rPr>
          <t>LAURA:</t>
        </r>
        <r>
          <rPr>
            <sz val="9"/>
            <color indexed="81"/>
            <rFont val="Tahoma"/>
            <family val="2"/>
          </rPr>
          <t xml:space="preserve">
evidencia</t>
        </r>
      </text>
    </comment>
    <comment ref="AM13" authorId="1" shapeId="0" xr:uid="{A8C03177-A6B6-4982-B3C6-1FC4172C36B2}">
      <text>
        <r>
          <rPr>
            <b/>
            <sz val="9"/>
            <color indexed="81"/>
            <rFont val="Tahoma"/>
            <family val="2"/>
          </rPr>
          <t>LAURA:</t>
        </r>
        <r>
          <rPr>
            <sz val="9"/>
            <color indexed="81"/>
            <rFont val="Tahoma"/>
            <family val="2"/>
          </rPr>
          <t xml:space="preserve">
evidencia</t>
        </r>
      </text>
    </comment>
    <comment ref="AM14" authorId="1" shapeId="0" xr:uid="{1D45BCB7-F57B-4C1B-B9F3-407977A1E215}">
      <text>
        <r>
          <rPr>
            <b/>
            <sz val="9"/>
            <color indexed="81"/>
            <rFont val="Tahoma"/>
            <family val="2"/>
          </rPr>
          <t>LAURA:</t>
        </r>
        <r>
          <rPr>
            <sz val="9"/>
            <color indexed="81"/>
            <rFont val="Tahoma"/>
            <family val="2"/>
          </rPr>
          <t xml:space="preserve">
evidencia</t>
        </r>
      </text>
    </comment>
    <comment ref="AM16" authorId="1" shapeId="0" xr:uid="{3C9AA561-7677-4FDC-8D54-63403213F58F}">
      <text>
        <r>
          <rPr>
            <b/>
            <sz val="9"/>
            <color indexed="81"/>
            <rFont val="Tahoma"/>
            <family val="2"/>
          </rPr>
          <t>LAURA:</t>
        </r>
        <r>
          <rPr>
            <sz val="9"/>
            <color indexed="81"/>
            <rFont val="Tahoma"/>
            <family val="2"/>
          </rPr>
          <t xml:space="preserve">
evidencia</t>
        </r>
      </text>
    </comment>
    <comment ref="AM17" authorId="1" shapeId="0" xr:uid="{EF4D8A0D-AADE-4C40-897C-AD71EA371D94}">
      <text>
        <r>
          <rPr>
            <b/>
            <sz val="9"/>
            <color indexed="81"/>
            <rFont val="Tahoma"/>
            <family val="2"/>
          </rPr>
          <t>LAURA:</t>
        </r>
        <r>
          <rPr>
            <sz val="9"/>
            <color indexed="81"/>
            <rFont val="Tahoma"/>
            <family val="2"/>
          </rPr>
          <t xml:space="preserve">
evidencia</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<sst xmlns="http://schemas.openxmlformats.org/spreadsheetml/2006/main" count="2663" uniqueCount="600">
  <si>
    <t>Gerencia General</t>
  </si>
  <si>
    <t>Subgerencia General</t>
  </si>
  <si>
    <t>Subgerencia Técnica</t>
  </si>
  <si>
    <t>Seguimiento y Control</t>
  </si>
  <si>
    <t>Subgerencia de Operaciones</t>
  </si>
  <si>
    <t>Planeación y Direccionamiento Estratégico</t>
  </si>
  <si>
    <t>Secretaria de Asuntos Corporativos</t>
  </si>
  <si>
    <t>Estructuración de Nuevos Negocios</t>
  </si>
  <si>
    <t>Dirección de Servicio al Cliente</t>
  </si>
  <si>
    <t>Servicio al Cliente</t>
  </si>
  <si>
    <t>Dirección Jurídica</t>
  </si>
  <si>
    <t>Operación de Servicios Públicos Domiciliarios</t>
  </si>
  <si>
    <t xml:space="preserve">Dirección de Control Interno </t>
  </si>
  <si>
    <t>Gestión de Proyectos</t>
  </si>
  <si>
    <t>Dirección de Nuevos Negocios</t>
  </si>
  <si>
    <t>Aseguramiento  del Servicio</t>
  </si>
  <si>
    <t>Dirección de Planeación</t>
  </si>
  <si>
    <t>Gestión Financiera</t>
  </si>
  <si>
    <t>Dirección de Estructuración de Proyectos</t>
  </si>
  <si>
    <t>Gestión Contractual</t>
  </si>
  <si>
    <t>Dirección de Interventoría</t>
  </si>
  <si>
    <t>Gestión de Recursos Físicos y TI</t>
  </si>
  <si>
    <t>Dirección de Asuntos Ambientales</t>
  </si>
  <si>
    <t xml:space="preserve">Gestión de Seguridad y Salud en el Trabajo </t>
  </si>
  <si>
    <t>Dirección de Aseguramiento de la Prestación</t>
  </si>
  <si>
    <t>Gestión Jurídica</t>
  </si>
  <si>
    <t>Dirección Operativa  y de Proyectos Especiales</t>
  </si>
  <si>
    <t>Gestión Documental</t>
  </si>
  <si>
    <t>Dirección de Gestión Contractual</t>
  </si>
  <si>
    <t>Gestión Humana</t>
  </si>
  <si>
    <t>Dirección de Finanzas y Presupuesto</t>
  </si>
  <si>
    <t>Dirección de Contabilidad</t>
  </si>
  <si>
    <t>Dirección de Gestión Humana y Administrativa</t>
  </si>
  <si>
    <t>Tesorería</t>
  </si>
  <si>
    <t>Matriz Mapa de Riesgos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</si>
  <si>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9" tint="-0.249977111117893"/>
        <rFont val="Arial Narrow"/>
        <family val="2"/>
      </rPr>
      <t>Guía para la Administración del Riesgo y el diseño de controles V5</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</si>
  <si>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</si>
  <si>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</si>
  <si>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</si>
  <si>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</si>
  <si>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</si>
  <si>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</si>
  <si>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</si>
  <si>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</si>
  <si>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</si>
  <si>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</si>
  <si>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</si>
  <si>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</si>
  <si>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</si>
  <si>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</si>
  <si>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</si>
  <si>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Causa Inmediata</t>
  </si>
  <si>
    <t>Circunstancias bajo las cuales se presenta el riesgo, es la situación más evidente frente al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</si>
  <si>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</si>
  <si>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</si>
  <si>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</si>
  <si>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</si>
  <si>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</si>
  <si>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</si>
  <si>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</si>
  <si>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</si>
  <si>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</si>
  <si>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</si>
  <si>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</si>
  <si>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</si>
  <si>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</si>
  <si>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</si>
  <si>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</si>
  <si>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</si>
  <si>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</si>
  <si>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</si>
  <si>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</si>
  <si>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</si>
  <si>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</si>
  <si>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</si>
  <si>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</si>
  <si>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</si>
  <si>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</si>
  <si>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</si>
  <si>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</si>
  <si>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</si>
  <si>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</si>
  <si>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</si>
  <si>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</si>
  <si>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</si>
  <si>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implementación,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</si>
  <si>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</si>
  <si>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</si>
  <si>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</si>
  <si>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</si>
  <si>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</si>
  <si>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</si>
  <si>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</si>
  <si>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</si>
  <si>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t xml:space="preserve"> MAPA DE RIESGOS DE GESTIÓN Y DE SEGURIDAD DE LA INFORMACIÓN</t>
  </si>
  <si>
    <t xml:space="preserve">CODIGO: PDE-F419 </t>
  </si>
  <si>
    <t xml:space="preserve">VERSION:0 </t>
  </si>
  <si>
    <t>Secretaria de Asuntos corporativos</t>
  </si>
  <si>
    <t>FECHA: 27/05/2021</t>
  </si>
  <si>
    <t xml:space="preserve">Subgerencia General </t>
  </si>
  <si>
    <t>1 LÍNEA DE DEFENSA
A cargo de los gerentes públicos y líderes de los procesos, programas y proyectos de la entidad. Rol principal: diseñar, implementar y monitorear los controles y gestionar de manera directa en el día a día los riesgos de la entidad.
Así mismo, orientar el desarrollo e implementación de políticas y procedimientos internos y asegurar que sean compatibles con las metas y objetivos de la entidad y emprender las acciones de mejoramiento para su logro.</t>
  </si>
  <si>
    <t>2 LÍNEA DE DEFENSA
A cargo de los servidores que tienen responsabilidades directas en el monitoreo y evaluación de los controles y la gestión del riesgo: Jefes de planeación, supervisores e interventores de contratos o proyectos, coordinadores de otros sistemas de gestión de la entidad, comités de riesgos (donde existan), comités de contratación, entre otros. Rol principal: monitorear la gestión de riesgo y control ejecutada por la primera línea de defensa, complementando su trabajo.</t>
  </si>
  <si>
    <t>3 LÍNEA DE DEFENSA
A cargo de la oficina de control interno, auditoría interna o quien haga sus veces.
El rol principal: proporcionar un aseguramiento basado en el más alto nivel de independencia y objetividad sobre la efectividad del S.C.I.
El alcance de este aseguramiento, a través de la auditoría interna cubre todos los componentes del S.C.I.</t>
  </si>
  <si>
    <t xml:space="preserve">Subgerencia Técnica </t>
  </si>
  <si>
    <t>Identificación del riesgo</t>
  </si>
  <si>
    <t>Análisis del riesgo inherente</t>
  </si>
  <si>
    <t>Evaluación del riesgo - Valoración de los controles</t>
  </si>
  <si>
    <t>Evaluación del riesgo - Nivel del riesgo residual</t>
  </si>
  <si>
    <t>Plan de Acción y seguimiento a controles</t>
  </si>
  <si>
    <t>SEGUIMIENTO POR PARTE DE CONTROL INTERNO</t>
  </si>
  <si>
    <t xml:space="preserve">VALOR DEL CÓDIGO DE INTEGRIDAD IMPACTADO </t>
  </si>
  <si>
    <t>Dirección</t>
  </si>
  <si>
    <t xml:space="preserve">Referencia </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</si>
  <si>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</si>
  <si>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</si>
  <si>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</si>
  <si>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</si>
  <si>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</si>
  <si>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</si>
  <si>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</si>
  <si>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</si>
  <si>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</si>
  <si>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</si>
  <si>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</si>
  <si>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</si>
  <si>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Plan de Acción</t>
  </si>
  <si>
    <t>Responsable</t>
  </si>
  <si>
    <t>Fecha Implementación</t>
  </si>
  <si>
    <t>Fecha Seguimiento</t>
  </si>
  <si>
    <t>Seguimiento</t>
  </si>
  <si>
    <t>SEGUIMIENTO</t>
  </si>
  <si>
    <t>Tipo</t>
  </si>
  <si>
    <t>Implementación</t>
  </si>
  <si>
    <t>Calificación</t>
  </si>
  <si>
    <t>Documentación</t>
  </si>
  <si>
    <t>Frecuencia</t>
  </si>
  <si>
    <t>Evidencia</t>
  </si>
  <si>
    <t xml:space="preserve">INFORME PRIMER SEGUIMIENTO 
Con corte al 30 de abril. </t>
  </si>
  <si>
    <t>INFORME SEGUNDO SEGUIMIENTO
Con corte al 31 de agosto.</t>
  </si>
  <si>
    <t>INFORME TERCER SEGUIMIENTO
Con corte al 31 de diciembre.</t>
  </si>
  <si>
    <t>HONESTIDAD</t>
  </si>
  <si>
    <t>RESPETO</t>
  </si>
  <si>
    <t>COMPROMISO</t>
  </si>
  <si>
    <t>DILIGENCIA</t>
  </si>
  <si>
    <t>JUSTICIA</t>
  </si>
  <si>
    <t xml:space="preserve">Gestionar los requerimientos formulados por las partes interesadas, para satisfacer sus necesidades, a través
de la implementación de estrategias de atención permanente, mediante canales de comunicación, intervención
social y rendición de cuentas, donde se de a conocer el propósito de la entidad en materia de agua potable y
saneamiento básico, liderando además, proyectos encaminados a comunidades, con énfasis en el sector
educativo en el marco de su bienestar integral. </t>
  </si>
  <si>
    <t>Desde la planificación y desarrollo para la orientación de las necesidades y requerimientos formulados por las
partes interesadas ante EPC, las acciones para el fortalecimiento de canales de comunicación, la intervención
social y la rendición de cuentas hasta la evaluación de la percepción de los productos y servicios ofrecidos.</t>
  </si>
  <si>
    <t>Económico</t>
  </si>
  <si>
    <t xml:space="preserve">Sanción por ente regulador </t>
  </si>
  <si>
    <t>Respuestas extemporáneas y sin el
cumplimiento de requisitos
de ley</t>
  </si>
  <si>
    <t>Posibilidad de afectación reputacional por sanciones por parte del ente regulador debido a  respuestas extemporáneas y sin el cumplimiento de requisitos de ley por falta de conocimiento y apropiación  del procedimiento y herramienta para la gestión de PQRSD</t>
  </si>
  <si>
    <t>Usuarios, Productos y Prácticas</t>
  </si>
  <si>
    <t xml:space="preserve">     El riesgo afecta la imagen de la entidad con algunos usuarios de relevancia frente al logro de los objetivos</t>
  </si>
  <si>
    <t>El administrador de PQRSD verifica diariamente la solicitud radicada para dar tramite según competencia de la PQRSD a través del análisis y asignación al responsable de dar la respuesta en lenguaje claro y de fondo. Esta es remitida por el sistema de radicación para dar trámite, de acuerdo al procedimiento control de recepción, elaboración y envió de respuestas a PQRSD</t>
  </si>
  <si>
    <t>Probabilidad</t>
  </si>
  <si>
    <t>Preventivo</t>
  </si>
  <si>
    <t>Manual</t>
  </si>
  <si>
    <t>Documentado</t>
  </si>
  <si>
    <t>Continua</t>
  </si>
  <si>
    <t>Con Registro</t>
  </si>
  <si>
    <t>Reducir (mitigar)</t>
  </si>
  <si>
    <t>Actualizar versión sistema de información para el control de recepción, seguimiento y envió de respuestas de PQRSD</t>
  </si>
  <si>
    <t>Dirección de Gestión Humana y Administrativa
Dirección de Servicio al Cliente</t>
  </si>
  <si>
    <t>1/06/2021 al 31/12/2021</t>
  </si>
  <si>
    <t>31/08/2021
31/12/2021</t>
  </si>
  <si>
    <t>En curso</t>
  </si>
  <si>
    <t>x</t>
  </si>
  <si>
    <t>Dirección de Control Interno</t>
  </si>
  <si>
    <t xml:space="preserve">El Director del área valida cada vez que se requiera, la información contenida en el modelo de respuesta de PQRSD dada por el usuario responsable de la respectiva dependencia; una vez validada la información y posibles anexos, da la aprobación y se remite nuevamente al gestor, para respuesta al peticionario con radicado de salida. En caso, de que la respuesta no cumpla con los criterios establecidos, el Director del área realiza solicitud de ajuste del modelo de respuesta. De acuerdo al procedimiento control de recepción, elaboración y envió de respuestas a PQRSD  </t>
  </si>
  <si>
    <t>Detectivo</t>
  </si>
  <si>
    <t>1. Campaña de apropiación "Respuesta PQRSD"
2. Capacitación gestor de respuesta PQRSD.
3. Alertas de vencimiento de respuesta PQRSD</t>
  </si>
  <si>
    <t>01/05/2021 al 16/12/2021</t>
  </si>
  <si>
    <t>Reputacional</t>
  </si>
  <si>
    <t>Pérdida de confianza institucional</t>
  </si>
  <si>
    <t>Falta de información veraz, pertinente, oportuna</t>
  </si>
  <si>
    <t>Posibilidad de afectación reputacional por pérdida de confianza institucional debido a la inexactitud y falta de veracidad en la comunicación y publicación de información a los grupos de interés</t>
  </si>
  <si>
    <t xml:space="preserve">     El riesgo afecta la imagen de de la entidad con efecto publicitario sostenido a nivel de sector administrativo, nivel departamental o municipal</t>
  </si>
  <si>
    <t xml:space="preserve">El gestor de comunicaciones de la Dirección de Servicio al Cliente verifica cada vez que se requiera, que la solicitud de eventos informativos allegada a la Dirección de Servicio al Cliente, se encuentre debidamente diligenciada y aprobada por el responsable de la información, si la solicitud cumple, es registrada en la hoja de control de eventos informativos y se asigna al equipo de productores multimedia para realización audiovisual. </t>
  </si>
  <si>
    <t>Sin Documentar</t>
  </si>
  <si>
    <t xml:space="preserve">1. Estructurar el procedimiento de realización audiovisual
2. Revisar y en caso que se requiera, ajustar formato solicitud de eventos informativos </t>
  </si>
  <si>
    <t>01/06/2021 al 16/12/2021</t>
  </si>
  <si>
    <t>El líder de comunicaciones valida y aprueba cada vez que se requiera, la pieza elaborada por el equipo de productores multimedia de acuerdo a los lineamientos establecidos en el Manual de Imagen, si la pieza grafica no cumple, se devuelve al profesional para realizar ajustes. Posteriormente se envía para aprobación del solicitante inicial</t>
  </si>
  <si>
    <t>1. Revisar y en caso que se requiera, ajustar el Manual de Imagen</t>
  </si>
  <si>
    <t>El Director del área valida cada vez que se requiera, la pieza gráfica producida por la Dirección de Servicio al cliente y una vez recibida la aprobación por parte del solicitante, el Director de Servicio al Cliente aprueba y remite a la líder de comunicaciones para publicación en los medios oficiales de comunicación. La líder de comunicaciones registra los enlaces en la hoja de control de eventos informativos</t>
  </si>
  <si>
    <t>1. Estructurar hoja de control de eventos informativos y realización audiovisual</t>
  </si>
  <si>
    <t>Negación por parte de la comunidad al desarrollo de una obra</t>
  </si>
  <si>
    <t>Inexistencia de acompañamiento social en la estructuración, diseño y ejecución de los proyectos</t>
  </si>
  <si>
    <t>Posibilidad de afectación reputacional por negación de la comunidad al desarrollo de una obra debido a la inexistencia de 
acompañamiento social a la estructuración, diseño y ejecución de los proyectos</t>
  </si>
  <si>
    <t>Ejecución y Administración de Procesos</t>
  </si>
  <si>
    <t>La trabajadora social de la Dirección de Servicio al cliente verifica en cada proyecto de preinversión el Análisis del AIU (Administración Imprevistos y Utilidades) presentado por la consultoría y remitido por la Dirección de operaciones y proyectos especiales, si dentro de los gastos generales de mano de obra y gastos de oficina, incluye la vinculación de un profesional social y la dedicación de tiempo de acuerdo a la Guía de intervención social. En caso que no se cuente con la presupuestación de un profesional social, se solicita a través de comunicación interna la vinculación respectiva.</t>
  </si>
  <si>
    <t>Sin Registro</t>
  </si>
  <si>
    <t>1. Estructurar propuesta para el ajuste de Procedimiento de gestión de proyectos y formato GP-F091 para incluir visto bueno del componente social a los proyectos</t>
  </si>
  <si>
    <t>01/06/2021 al 30/09/2021</t>
  </si>
  <si>
    <t xml:space="preserve">Dirección de Finanzas y Presupuesto </t>
  </si>
  <si>
    <t xml:space="preserve">La trabajadora social de la Dirección de Servicio al cliente verifica en la etapa de inversión de cada proyecto, la vinculación de profesionales sociales del área contratista e interventoría, de acuerdo con la revisión del contrato o convenio establecido para la ejecución de la obra y en caso de no evidenciar el profesional social, notifica a la Dirección de Interventoría y Subgerencia Técnica la inexistencia de acompañamiento social en la obra. </t>
  </si>
  <si>
    <t>1. Estructurar propuesta para el ajuste de Procedimiento de gestión contractual y  formato GC-F181 para la inclusión de profesionales sociales en la solicitud de contratación y estudios previos para la adecuada implementación de la Guía de Intervención Social
2. Diseñar una estrategia comunicativa en la que se explique la importancia de la vinculación de profesionales sociales en las obras que se adelantan para el sector de agua potable y saneamiento básico</t>
  </si>
  <si>
    <t>Gestión de proyectos</t>
  </si>
  <si>
    <t>Garantizar la gestión integral y eficiente de proyectos de agua potable y saneamiento básico para satisfacer
nuestras partes interesadas.</t>
  </si>
  <si>
    <t>Inicia con la validación y priorización de necesidades y finaliza con la entrega a satisfacción de los proyectos
diseñados y ejecutados.</t>
  </si>
  <si>
    <t xml:space="preserve">Reputacional </t>
  </si>
  <si>
    <t xml:space="preserve">Aplicación de investigación o sanción por parte del ente regulador </t>
  </si>
  <si>
    <t>Debido a la entrega y/o aprobación inoportuno de los instrumentos de planificación ambiental</t>
  </si>
  <si>
    <t>Posibilidad de afectación reputacional y/o económica por investigaciones o sanciones por parte del ente regulador, debido a la entrega y/o aprobación inoportuna de los instrumentos de planificación ambiental o que los mismos no sean aprobados por la Autoridad Ambiental Competente.</t>
  </si>
  <si>
    <t xml:space="preserve">El profesional de asuntos ambientales programa y ejecuta reuniones con el municipio y realiza visitas técnicas para  la adecuada planeación del proyecto </t>
  </si>
  <si>
    <t>Aleatoria</t>
  </si>
  <si>
    <t>Cronograma</t>
  </si>
  <si>
    <t xml:space="preserve">Enero 2021 - Diciembre 2021 </t>
  </si>
  <si>
    <t>Mensualmente</t>
  </si>
  <si>
    <t>X</t>
  </si>
  <si>
    <t xml:space="preserve">El profesional de asuntos ambientales en conjunto con la interventoría realiza el seguimiento a la ejecución de los instrumentos ambientales con el fin de obtener un producto conforme a las especificaciones </t>
  </si>
  <si>
    <t>El profesional de asuntos ambientales, la interventoría y el municipio ejecutan reuniones con la autoridad ambiental competente para realizar las debidas subsanaciones a que haya a lugar y obtener la aprobación del producto</t>
  </si>
  <si>
    <t>Correctivo</t>
  </si>
  <si>
    <t>Trimestralmente</t>
  </si>
  <si>
    <t>Interventoría</t>
  </si>
  <si>
    <t xml:space="preserve">Reputacional y Económico  </t>
  </si>
  <si>
    <t xml:space="preserve">Debido ha demoras en contratación de obra e interventoría por falencias en la estructuración. </t>
  </si>
  <si>
    <t xml:space="preserve">Posibilidad de afectación reputacional y económica por investigaciones y sanciones por parte del ente regulador debido ha demoras en contratación de obra e interventoría por falencias en la estructuración. </t>
  </si>
  <si>
    <t xml:space="preserve">     Mayor a 500 SMLMV </t>
  </si>
  <si>
    <t>El profesional de la Dirección de Interventoría deberá realizar reunión con el área de Estructuración para realizar una validación previa a la contratación del proyecto.</t>
  </si>
  <si>
    <t>Cronograma de trabajo para proyectos en Ejecución con Falencias</t>
  </si>
  <si>
    <t>Mensual</t>
  </si>
  <si>
    <t>se realizan comités contantemente entre las partes (Municipio, Contratista, Interventoría y EPC'), con el fin de dar solución a situaciones que se presenten durante la ejecución de los proyectos como (permisos, temas prediales, entre otros)</t>
  </si>
  <si>
    <t>Quincenal</t>
  </si>
  <si>
    <t>Económico y Reputacional</t>
  </si>
  <si>
    <t>Un mal seguimiento y supervisión a la ejecución de la obra por parte de la Interventoría.</t>
  </si>
  <si>
    <t xml:space="preserve">Posibilidad de afectación reputacional y económica por investigaciones y sanciones por parte del ente regulador debido ha la mala supervisión a la ejecución de obra por parte de las interventorías. </t>
  </si>
  <si>
    <t>Usuarios, productos y practicas , organizacionales</t>
  </si>
  <si>
    <t xml:space="preserve">     Entre 50 y 100 SMLMV </t>
  </si>
  <si>
    <t>Los profesionales adelantan seguimiento a los diferentes contrataciones de interventoría revisando de que se de cumplimiento a cada uno de sus actividades.</t>
  </si>
  <si>
    <t>Acta de reunión
informes de supervisión</t>
  </si>
  <si>
    <t>Estructuración de proyectos</t>
  </si>
  <si>
    <t>Dependencia excesiva de la actuación sobre los productos (entiéndanse como entradas en la caracterización de los procesos) de otras dependencias, cuando los proyectos requieren ajustes por parte de los consultores y se presumían terminados.</t>
  </si>
  <si>
    <t xml:space="preserve">Proyectos deficientes por no cumplimiento de requisitos técnicos, económicos, legales y administrativos.  </t>
  </si>
  <si>
    <t>El profesional encargado de la Dirección de Estructuración de proyectos, realiza mesas de trabajo con las Direcciones  de Operativa y Proyectos Especiales e Interventoría, con el fin de mirar a detalle cada uno de los componentes en compañía de los especialistas para que no queden temas pendientes o mal estructurados</t>
  </si>
  <si>
    <t>Fortalecer las acciones de inspección, vigilancia y control en las etapas para el alistamiento, estructuración y viabilidad de los proyectos, a través de mesas de trabajo de la dirección así como la interacción con las demás direcciones que contribuyen al logro del objetivo del proceso</t>
  </si>
  <si>
    <t>Enero-Diciembre</t>
  </si>
  <si>
    <t>El profesional encargado de la Dirección de Estructuración de proyectos realiza visitas a los Municipios con el fin de verificar el estado de los requisitos técnicos, ambientales, prediales, sociales y demás requeridos para el desarrollo del proyecto y de esta manera determinar la pertinencia de continuidad.</t>
  </si>
  <si>
    <t xml:space="preserve">El profesional encargado de la Dirección de Estructuración de proyectos realiza mesas de trabajo entre el Municipio, Consultor y DOPE , en las cuales se realiza la revisión de la lista de chequeo para que alleguen la información faltante, de acuerdo a cada uno de los componentes, así mismo con los ajustes realizados por el consultor y/o municipio </t>
  </si>
  <si>
    <t>Operativa y Proyectos Especiales</t>
  </si>
  <si>
    <t>Debido a falencias en la supervisión de las diferentes etapas de un proyecto   de pre-inversión</t>
  </si>
  <si>
    <t>Posibilidad de afectación reputacional  y económica por investigaciones o sanciones por parte del ente regulador,  debido a falencias en la supervisión de las diferentes etapas de un proyecto   de pre-inversión</t>
  </si>
  <si>
    <t>El profesional de  Operativa y de Proyectos Especiales,   realiza el seguimiento a los proyectos, que se encuentren en la Dirección a través de la base de datos,   generando alertas de las situaciones administrativas de los contratos.</t>
  </si>
  <si>
    <t>Actualización de la base de proyectos de la Dirección Operativa y de Proyectos Especiales y generación de lista de contratos en riesgo de vencerse los términos para iniciar, terminar o liquida.</t>
  </si>
  <si>
    <t>Dirección Operativa y de Proyectos Especiales</t>
  </si>
  <si>
    <t xml:space="preserve">Diciembre 2021 - enero 2022 </t>
  </si>
  <si>
    <t>Se le ha solicitado al profesional encargado de la base, informes periódicos del estado contractual de los proyectos</t>
  </si>
  <si>
    <t xml:space="preserve">El profesional de  Operativa y de Proyectos Especiales de temas jurídicos realiza el asesoramiento y acompañamiento a cada uno de los proyectos que tienen alguna dificultad  en el desarrollo del proyecto, buscando una conciliación con las partes. </t>
  </si>
  <si>
    <t>Se ha realizado acompañamiento jurídico desde la profesional en derecho de la Dirección Operativa y de Proyectos Especiales para buscar justificación para realizar suspensiones o prorrogas que extiendan el plazo de los contratos</t>
  </si>
  <si>
    <t>Realizar las actividades de evaluación independiente, asesoría y seguimiento a la gestión de la entidad, con el fin de detectar oportunamente incumplimientos para establecer planes de mejoramiento, contribuyendo así al cumplimiento de los objetivos de la entidad dentro del marco normativo aplicable para la empresa</t>
  </si>
  <si>
    <t xml:space="preserve"> Involucra la estructuración del plan de acción del proceso de Seguimiento y Control establecido en la séptima dimensión del MIPG promoviendo el mejoramiento continuo de la EPC</t>
  </si>
  <si>
    <t>Reputacional-Económico</t>
  </si>
  <si>
    <t>Sanciones por parte de los entes de control</t>
  </si>
  <si>
    <t>Debido al incumpliendo con los términos y la integridad de la información reportada a los entes de control y demás instituciones que los solicitan.</t>
  </si>
  <si>
    <t>Posibilidad de afectación reputacional y económica por sanciones por parte de los entes de control, debido al incumpliendo con los términos y la integridad de la información reportada a los entes de control y demás instituciones que los solicitan.</t>
  </si>
  <si>
    <t>El director de la oficina de control interno, verifica las fechas de vencimiento de los diferentes informes presentados a Entes de Control  y demás entidades que requieran información, de acuerdo a cronogramas establecidos y a normatividad vigente.</t>
  </si>
  <si>
    <t>Enero 2021-Diciembre 2021</t>
  </si>
  <si>
    <t xml:space="preserve">Planes de mejoramiento internos </t>
  </si>
  <si>
    <t>Debido a que  se desarrollen informes y seguimientos con el desconocimiento de la norma</t>
  </si>
  <si>
    <t>Posibilidad de afectación reputacional  debido a planes de mejoramiento internos  sobre el desarrollo de informes y seguimientos con el desconocimiento de la norma</t>
  </si>
  <si>
    <t>El director de la oficina de control interno revisa los informes realizados por su equipo de trabajo, verificando las técnicas de auditoria aplicadas y las normas asociadas a cada una de áreas auditadas, posteriormente se envía  el pre-informe al área auditada para su evaluación y controversia</t>
  </si>
  <si>
    <t>Solicitud de capacitaciones para auditorías</t>
  </si>
  <si>
    <t>Establecer y hacer seguimiento a los objetivos estratégicos de la Empresa, liderar el mantenimiento y mejora continua de los sistemas de gestión empresarial y adoptar principios de buen gobierno</t>
  </si>
  <si>
    <t>Adopción de políticas, objetivos, valores, metas, planes, programas estratégicos y sistemas de gestión.</t>
  </si>
  <si>
    <t xml:space="preserve">Debido a los retrasos en la definición de metas por parte de las direcciones </t>
  </si>
  <si>
    <t>Posibilidad de afectación reputacional por investigaciones o sanciones por parte del ente regulador, debido a el establecimiento inoportuno del plan de acción de la vigencia</t>
  </si>
  <si>
    <t xml:space="preserve">El profesional de planeación, realiza un acompañamiento a cada una de las direcciones para la formulación adecuada de las metas, líneas de acción e indicadores. </t>
  </si>
  <si>
    <t xml:space="preserve">Establecer en el procedimiento que anualmente se debe realizar un cronograma de acompañamiento para la formulación de metas del plan de acción </t>
  </si>
  <si>
    <t>Dirección de planeación</t>
  </si>
  <si>
    <t>El profesional debe realizar un cronograma para el cumplimiento de las fechas de publicación de los planes institucionales (plan estratégico y plan de acción) con base en el cual realiza la verificación al cumplimiento de las fechas establecidas</t>
  </si>
  <si>
    <t>Debido a la falta de compromiso y conocimiento por parte de los responsables de cada política</t>
  </si>
  <si>
    <t>Posibilidad de afectación reputacional por investigaciones o sanciones por parte del ente regulador, debido al inadecuado mantenimiento del Modelo Integrado de Planeación y Gestión MIPG- en sus dimensiones y políticas de operación</t>
  </si>
  <si>
    <t>El profesional de planeación del modelo integrado de planeación y gestión MIPG y el sistema de gestión de calidad,   realizan capacitaciones  a todos los servidores en conocimiento,  implementación y mantenimiento del modelo, adicionalmente se gestionan capacitaciones con los lideres de cada política de operación y los responsables internos para su adecuada  implementación</t>
  </si>
  <si>
    <t>Establecer y ejecutar el programa de mantenimiento del modelo integrado de planeación y gestión</t>
  </si>
  <si>
    <t>I semestre del 2021</t>
  </si>
  <si>
    <t>Los profesionales de planeación del modelo integrado de planeación y gestión MIPG y el sistema de gestión de calidad, establecen un plan de trabajo para la implementación de cada una de las políticas posterior a la respectiva capacitación, teniendo en cuenta resultados de FURAG, autodiagnósticos y recomendaciones</t>
  </si>
  <si>
    <t xml:space="preserve">Debido a la falta de seguimiento y cumplimiento a las metas establecidas en el plan de acción de la vigencia </t>
  </si>
  <si>
    <t>Posibilidad de afectación reputacional por investigaciones o sanciones por parte del ente regulador, debido a la falta de seguimiento y cumplimiento a las metas establecidas en el plan de acción de la vigencia</t>
  </si>
  <si>
    <t xml:space="preserve">El  profesional de planeación mensualmente informa el estado de cumplimiento de las metas PDD a través del seguimiento de la planeación institucional, y se documenta cualquier desviación mediante el tablero de control del aplicativo de la gobernación de Cundinamarca, de igual manera trimestralmente presenta un avance de todas las metas del plan de acción </t>
  </si>
  <si>
    <t>-</t>
  </si>
  <si>
    <t>El profesional de planeación cuando detecte desviaciones significativas en el cumplimiento de las metas por parte de los responsables, solicitara elaboración de plan choque para el respectivo cumplimiento al cual deberá realizar seguimiento</t>
  </si>
  <si>
    <t>Aseguramiento de la Prestación del Servicio</t>
  </si>
  <si>
    <t>Fortalecer la operación y la gestión de los prestadores de servicios públicos domiciliarios</t>
  </si>
  <si>
    <t xml:space="preserve"> Debido a no realizar el fortalecimiento operacional, institucional y técnico a los prestadores de servicios
públicos domiciliarios </t>
  </si>
  <si>
    <t xml:space="preserve">Posibilidad de afectación reputacional por investigaciones o sanciones por parte del ente regulador, debido a no realizar el fortalecimiento operacional, institucional y técnico a los prestadores de servicios
públicos domiciliarios </t>
  </si>
  <si>
    <t>De acuerdo a las solicitudes, el profesional de Aseguramiento de la prestación del servicio, establece un cronograma de actividades, conforme a los procedimientos del área para realizar los fortalecimientos.</t>
  </si>
  <si>
    <t>N/A</t>
  </si>
  <si>
    <t>Dirección de Aseguramiento</t>
  </si>
  <si>
    <t xml:space="preserve">Mayo 2021 - enero 2022 </t>
  </si>
  <si>
    <t>El profesional de Aseguramiento, realizará  las actividades plasmadas en los procedimientos de acuerdo a la solicitud del prestador.</t>
  </si>
  <si>
    <t>Administrar los recursos financieros que permitan la toma de decisiones para el cumplimiento de las metas del Plan Estratégico por vigencia  suministrando información oportuna, veraz y confiable para la toma de decisiones.
Gestionar durante cada vigencia fiscal los recursos financieros necesarios para el cumplimiento</t>
  </si>
  <si>
    <t>Desde la planeación presupuestal, contable y financiera para cada vigencia fiscal hasta la ejecución de los recursos y la presentación de informes y estados financieros de la vigencia.
Inicia con la planeación presupuestal, contable, financiera y culmina con la ejecución de los recursos y la presentación de informes financieros y contables de la vigencia fiscal.</t>
  </si>
  <si>
    <t>Investigación, hallazgo o aplicación de sanciones por parte de entidades de control y vigilancia.</t>
  </si>
  <si>
    <t xml:space="preserve">Debido a la omisión de valores en la cuantía requerida. </t>
  </si>
  <si>
    <t xml:space="preserve">
Posibilidad de afectación  económica y reputacional por investigaciones o sanciones por parte de los entes de control y vigilancia, debido a la omisión de valores en la cuantía requerida para cumplir una obligación.</t>
  </si>
  <si>
    <t>El profesional de planta de la Dirección de Finanzas y Presupuesto realiza  revisión al presupuesto con el fin de identificar que se cuenta con los recursos en los rubros adecuados para el cumplimiento de las obligaciones financieras adquiridas por la entidad.</t>
  </si>
  <si>
    <t>Automático</t>
  </si>
  <si>
    <t>Evitar</t>
  </si>
  <si>
    <t>El profesional de planta de la Dirección de Finanzas y Presupuesto realiza seguimiento a la ejecución presupuestal de los  ingresos, gastos y líneas de negocio, con periodicidad mensual para el control en la apropiación de recursos realizadas  en el software.</t>
  </si>
  <si>
    <t xml:space="preserve"> Debido a no rendir o presentar las cuentas e informes exigidos ordinariamente, o no hacerlo en la
forma y oportunidad establecidas.</t>
  </si>
  <si>
    <t>El profesional de la Dirección de Finanzas y Presupuesto realiza  revisión de  la información a reportar con el fin de identificar incoherencia o inexactitudes en los datos.</t>
  </si>
  <si>
    <t>El profesional de la Dirección de Finanzas y Presupuesto realiza seguimiento al reporte oportuno de los informes asignados a la dirección.</t>
  </si>
  <si>
    <t>Investigación, hallazgo o aplicación de sanciones por parte de entidades de control y vigilancia o demandas de terceros por posibles afectaciones económicas.</t>
  </si>
  <si>
    <t>Debido a la realización de ordenes de pago  inexactas con recursos PDA.</t>
  </si>
  <si>
    <t xml:space="preserve">
Posibilidad de afectación  económica y reputacional por investigación o sanción por parte de los entes de control y vigilancia o demanda de terceros, debido a errores de digitación,  información desactualizada, desconocimiento normativo tributario en la orden de pago.</t>
  </si>
  <si>
    <t xml:space="preserve">     El riesgo afecta la imagen de la entidad internamente, de conocimiento general, nivel interno, de junta directiva y accionistas y/o de proveedores</t>
  </si>
  <si>
    <t>Moderado</t>
  </si>
  <si>
    <t>Diario</t>
  </si>
  <si>
    <t>El profesional de la Dirección de Finanzas y Presupuesto realiza solicitudes de actualización de la información tributaria vigente en los Municipios del departamento.</t>
  </si>
  <si>
    <t>El profesional de la Dirección de Finanzas y Presupuesto realiza reporte al beneficiario del pago de observaciones realizadas por las fiducias sobre el pago a ejecutar.</t>
  </si>
  <si>
    <t>Investigación, hallazgo o aplicación de sanciones por parte del entidades de inspección, control y vigilancia o autoridades tributarias</t>
  </si>
  <si>
    <t xml:space="preserve">1. Debido a la inadecuada aplicación de políticas y procedimientos contables o resultado  del  manejo y reporte de información tributaria en base a al tratamiento establecido en los diferentes Estatutos de Rentas. </t>
  </si>
  <si>
    <t>Afectación económica por investigación, hallazgo o sanción por parte de las Entidades de inspección, vigilancia y control debido a la inadecuada aplicación de políticas y procedimientos contables o resultado  del  manejo y reporte de información tributaria en base a al tratamiento establecido en los diferentes Estatutos de Rentas</t>
  </si>
  <si>
    <t>El Profesional de apoyo de la Dir. de Contabilidad verifica que la información realizada por la dirección contenga los formatos internos vigentes y de cumplimiento las mismas conforme a las disposiciones legales; una vez ésta información sea revisada y depurada se incorpora al Sistema de Información Contable.</t>
  </si>
  <si>
    <t>Reporte semanal de los documentos generados en Sistema de Información Contable</t>
  </si>
  <si>
    <t>Semanal</t>
  </si>
  <si>
    <t>Se genera un archivo en Excel con la relación de los documentos elaborados</t>
  </si>
  <si>
    <t xml:space="preserve">El Director del área verifica que la información se encuentre reflejada en el Sistema de Información Contable, valida la misma y genera visto bueno o firma en aprobación de los documentos; en caso de que se observe alguna inconsistencia, se devuelve la totalidad de la documentación al profesional de apoyo del área. </t>
  </si>
  <si>
    <t xml:space="preserve">Hallazgo,  investigación o sanción por parte de Entidades de control, inspección y vigilancia. </t>
  </si>
  <si>
    <t>1. Debido a  información tributaria errada o pérdida de datos, daño del Sistema de Información Contable,  pérdida de información almacenada en la red y falta de Back Up.</t>
  </si>
  <si>
    <t>Afectación económica por investigación o sanción por parte de las Entidades de inspección, vigilancia y control,  debido a  información tributaria errada o pérdida de datos, daño del Sistema de Información Contable,  pérdida de información almacenada en la red y falta de Back Up..</t>
  </si>
  <si>
    <t>Fallas Tecnológicas</t>
  </si>
  <si>
    <t xml:space="preserve">2.1 El profesional de apoyo de la Dirección contable prepara la información tributaria dando cumplimiento a la normativa vigente y en los términos que la ley determina para su presentación </t>
  </si>
  <si>
    <t>El proveedor del Sistema de Información Contable, genera un reporte de Back Up</t>
  </si>
  <si>
    <t>2.2 La información tributaria es remitida al director contable quien debe validar la información y generar aprobación de la misma para su posterior remisión a la revisoría fiscal. 
2.3 La Revisoría fiscal realiza validación, aprobación y firma de la información tributaria para su remisión a la gerencia. 
2.4 La Información es validada y firmada por la Gerencia para su respectiva transmisión, reporte y presentación ante la Autoridad Tributaria correspondiente.</t>
  </si>
  <si>
    <t>Los responsables de la información contable establecen continua comunicación con el proveedor del Sistema de Información Contable, con el fin de ir realizando mejoras y subsanando  los posibles errores que presente el software.
1.2 El proveedor del Sistema de Información genera un back up automático de la información con el apoyo y acompañamiento de la  oficina de sistemas con una frecuencia diaria.</t>
  </si>
  <si>
    <t>Junio de 2021 
Diciembre de 2021</t>
  </si>
  <si>
    <t>Semestral</t>
  </si>
  <si>
    <t>Soporte del correo enviado</t>
  </si>
  <si>
    <t xml:space="preserve">Investigación o sanción por parte del ente regulador </t>
  </si>
  <si>
    <t>Debido a la presentación de información financiera a los entes de control de manera extemporánea o por preparación inadecuada de la información para la rendición de informes.</t>
  </si>
  <si>
    <t>Afectación económica y reputacional por investigación o sanción por parte del Ente de control debido a la presentación de información financiera a los entes de control de manera extemporánea o por preparación inadecuada de la información para la rendición de informes.</t>
  </si>
  <si>
    <t>El jefe de área junto con el profesional de apoyo, establecen un calendario con anterioridad en el que se relacionan las fechas y el tipo de presentación del informe a los Entes de Control, al igual que la rendición de informes internos.</t>
  </si>
  <si>
    <t>Trimestral</t>
  </si>
  <si>
    <t>Soporte en Excel del calendario establecido
Reporte de la presentación del informe
acta de presentación de informes internos</t>
  </si>
  <si>
    <t>Investigación, hallazgo o sanción por parte de las Entidades de inspección, vigilancia y control</t>
  </si>
  <si>
    <t>Debido a que   la información generada de ingresos y egresos en el proceso no se registre o se haga con errores o de manera no oportuna.</t>
  </si>
  <si>
    <t>Posibilidad de  afectación reputacional  por investigación, hallazgo o sanción por parte de las Entidades de inspección, vigilancia y control, debido a que   la información generada de ingresos y egresos en el proceso no se registre o se haga con errores o de manera no oportuna.</t>
  </si>
  <si>
    <t>El Tesorero verifica que la información de ingresos,  pagos, traslados y otros sean registrados diariamente</t>
  </si>
  <si>
    <t>Debido a realizar pagos o transferencias electrónicas  con errores en la información de valores, beneficiarios, fechas o cuentas bancarias de destino</t>
  </si>
  <si>
    <t>Posibilidad de afectación económica por investigación, hallazgo o sanción por parte de las Entidades de inspección, vigilancia y control, debido a realizar pagos o transferencias electrónicas  con errores en la información de valores, beneficiarios, fechas o cuentas bancarias de destino</t>
  </si>
  <si>
    <t xml:space="preserve">     Afectación menor a 10 SMLMV .</t>
  </si>
  <si>
    <t>El Tesorero recibe los pagos, o traslados y verifica que la información sea correcta.</t>
  </si>
  <si>
    <t>El profesional de Tesorería realiza la Modificación y/o corrección de archivo plano enviados al Banco por algún tipo de error detectado por el banco</t>
  </si>
  <si>
    <t xml:space="preserve"> Debido  a que se  presente acceso ilegal por parte de la delincuencia en las redes y equipos de cómputo para hurtar, manipular la información en los Portales de las Entidades Financieras.</t>
  </si>
  <si>
    <t>Posibilidad de afectación económica por investigación, hallazgo o sanción por parte de las Entidades de inspección, vigilancia y control debido  a que se  presente acceso ilegal por parte de la delincuencia en las redes y equipos de cómputo para hurtar, manipular la información en los  Portales de las Entidades Financieras.</t>
  </si>
  <si>
    <t>Fraude Externo</t>
  </si>
  <si>
    <t xml:space="preserve">     Entre 100 y 500 SMLMV </t>
  </si>
  <si>
    <t xml:space="preserve">Dentro de la entidad se establecen dos Token para el acceso a las entidades para pagos y transferencias.   </t>
  </si>
  <si>
    <t xml:space="preserve"> Medidas de seguridad en la red y en la  infraestructura, por parte de la mesa de ayuda de la entidad</t>
  </si>
  <si>
    <t>Desarrollar actividades tendientes a la planificación, manejo, organización y trazabilidad del total de la documentación producida y recibida por la EPC durante cada vigencia, desde su origen hasta su destino final, dando cumplimiento con los temas normativos y administrativos establecidos por la entidad.</t>
  </si>
  <si>
    <t>Desde la identificación, organización y registro de los documentos producidos y recibidos por cada una de las Direcciones de la empresa, hasta su disposición final de acuerdo a lo establecida en las Tablas de Retención Documental - TRD.</t>
  </si>
  <si>
    <t>Sanciones por parte del ente de control</t>
  </si>
  <si>
    <t>Instrumento de control de la trazabilidad de los correos para la adecuada radicación de los documentos</t>
  </si>
  <si>
    <t>Dirección de gestión humana y administrativa</t>
  </si>
  <si>
    <t>Diaria</t>
  </si>
  <si>
    <t>1. Hacer un diagnostico inicial de cómo se encuentra el sistema de radicación y correspondencia interna y externa en cumplimiento de las disposiciones de ventanilla única de la Empresa.
2. Continuar con el control de Excel de correspondencia diario junto con el uso de la herramienta mercurio
3.Contratar la actualización del sistema Mercurio o mejoramiento de su versión junto con las capacitaciones correspondientes a las áreas y lo requerido para optimizar su uso como herramienta de control.</t>
  </si>
  <si>
    <t>Informes semestrales al concejo departamental de archivo conforme a la gestión del proceso</t>
  </si>
  <si>
    <t>Semestralmente</t>
  </si>
  <si>
    <t xml:space="preserve">El profesional de apoyo del área documental debe realizar el envío de la documentación relacionada con los contratos de la gestión de archivo </t>
  </si>
  <si>
    <t>Debido a pérdida de documentos de archivo central o de gestión por consulta de un tercero.</t>
  </si>
  <si>
    <t>Posibilidad de afectación  reputacional por sanciones por parte del ente de control  debido a pérdida de documentos de archivo central o de gestión por consulta de un tercero.</t>
  </si>
  <si>
    <t>GD-F284 Formato préstamo de documentos y expedientes físico y
Archivo Excel donde se registra y controla el préstamo de documentos y expedientes (archivo central y archivo de gestión)</t>
  </si>
  <si>
    <t>1. Control de inventario documental 
2. Registro y control de los prestamos documentales
3. Seguimiento de las documentación y/o expedientes prestados
4. Descargue e ingreso de la documentación y/o expedientes prestados</t>
  </si>
  <si>
    <t>Control a través de plataforma de préstamo de documentos y expedientes del archivo en custodia de OSP</t>
  </si>
  <si>
    <t>Cuando se solicita archivo que se encuentran en custodia de OSP</t>
  </si>
  <si>
    <t xml:space="preserve">el profesional de apoyo del archivo realiza mensualmente la revisión de los expedientes que están en préstamo, para solicitar su devolución </t>
  </si>
  <si>
    <t>Gestionar el desarrollo integral del talento humano, mediante actividades para la vinculación, permanencia y retiro de los funcionarios, contribuyendo su desarrollo para el logro de los objetivos institucionales</t>
  </si>
  <si>
    <t>Este proceso cubre las actividades para la selección, vinculación, capacitación, evaluación del desempeño, bienestar social, y termina con las actuaciones administrativas necesarias para el retiro del servidor públicos</t>
  </si>
  <si>
    <t xml:space="preserve">Debido a Ingreso y Retiro del Personal sin el cumplimiento de los requisitos técnicos y legales </t>
  </si>
  <si>
    <t>Afectación reputacional por sanciones por parte del ente de control debido a Ingreso y Retiro del Personal sin el cumplimiento de los requisitos técnicos y legales</t>
  </si>
  <si>
    <t>Ejecucion y Administracion de procesos</t>
  </si>
  <si>
    <t xml:space="preserve">     El riesgo afecta la imagen de la entidad internamente, de conocimiento general, nivel interno, de junta dircetiva y accionistas y/o de provedores</t>
  </si>
  <si>
    <t>Manual de cargos y funciones implementado información documentada (Procesos, procedimientos, formatos e indicadores) implementados, los cuales hacen parte del sistema de Gestión de la empresa</t>
  </si>
  <si>
    <t>A necesidad</t>
  </si>
  <si>
    <t xml:space="preserve">Dirección de Aseguramiento de la Prestación </t>
  </si>
  <si>
    <t xml:space="preserve"> Incumplimiento de metas </t>
  </si>
  <si>
    <t>No contar con plan estratégico del talento humano PEGH adecuado a los criterios de MIPG</t>
  </si>
  <si>
    <t>Afectación reputacional por incumplimiento de metas por no elaborar e implementar el plan estratégico del talento humano PEGH adecuado a los criterios de MIPG</t>
  </si>
  <si>
    <t>Matriz de seguimiento de Plan estratégico de talento humano de la  vigencia.</t>
  </si>
  <si>
    <t>Enero a diciembre de 2021</t>
  </si>
  <si>
    <t xml:space="preserve">Dirección Operativa y de Proyectos Especiales </t>
  </si>
  <si>
    <t>Comunidad sin servicio de agua potable. Mala imagen de la empresa.</t>
  </si>
  <si>
    <t xml:space="preserve">Dirección de Interventoría </t>
  </si>
  <si>
    <t>Reputacional  y Económico</t>
  </si>
  <si>
    <t>Investigación, hallazgo o aplicación de sanciones por parte de entidades de control y vigilancia o demandas</t>
  </si>
  <si>
    <t>Debido al  incumplimiento en las
obligaciones de la empresa como socio
especializado operador</t>
  </si>
  <si>
    <t>El profesional de la subgerencia de operaciones realiza un informe anual de todas las actividades realizadas en las empresas socias, en cumplimiento de las obligaciones estatutarias</t>
  </si>
  <si>
    <t>30%</t>
  </si>
  <si>
    <t>Media</t>
  </si>
  <si>
    <t>Mayor</t>
  </si>
  <si>
    <t>Alto</t>
  </si>
  <si>
    <t>anual - Diciembre</t>
  </si>
  <si>
    <t>Anual</t>
  </si>
  <si>
    <t>40%</t>
  </si>
  <si>
    <t>Baja</t>
  </si>
  <si>
    <t>enero a diciembre</t>
  </si>
  <si>
    <t>trimestral</t>
  </si>
  <si>
    <t>Defender los derechos e intereses de la empresa en los procesos judiciales como demanda y demandante en
cumplimiento al plan estratégico a través de intervenciones oportunas.</t>
  </si>
  <si>
    <t>Formular políticas del daño antijurídico en un estado procesal, así como la recepción y traslado de la
notificación y termina con la debida actuación y sentencias definitivas que resuelven el caso.</t>
  </si>
  <si>
    <t>Reputacional-Económica</t>
  </si>
  <si>
    <t xml:space="preserve"> Posibles  sanciones fiscales, disciplinarias y/o penales.</t>
  </si>
  <si>
    <t>Debido  al vencimiento de términos en los diferentes  procesos de la entidad</t>
  </si>
  <si>
    <t>Posibilidad de afectación reputacional y económica debido  al vencimiento de términos en los diferentes  procesos de la entidad causando posibles  sanciones fiscales, disciplinarias y/o penales.</t>
  </si>
  <si>
    <t>El profesional de la Dirección Jurídica realiza seguimiento a los procesos judiciales por medio las herramientas digitales de la Rama Judicial.</t>
  </si>
  <si>
    <t>El profesional de la Dirección Jurídica actualiza el Cuadro de Control de Procesos, con el estado actual de cada proceso frente a la última actuación.</t>
  </si>
  <si>
    <t>Cuando haya actuación del proceso</t>
  </si>
  <si>
    <t>Identificar, gestionar y aprobar las oportunidades de negocio que aporten al crecimiento y desarrollo sostenible de
La Empresa.</t>
  </si>
  <si>
    <t xml:space="preserve">Inicia en la identificación de nuevos negocios hasta la aprobación de la viabilidad por parte de la Alta
Dirección y el contrato o convenio firmado entre las partes interesadas. </t>
  </si>
  <si>
    <t>Seguimiento a nivel interno (Plan de Mejoramiento)</t>
  </si>
  <si>
    <t xml:space="preserve"> Por el incumplimiento de las metas al no suscribir nuevos negocios</t>
  </si>
  <si>
    <t>Posibilidad de afectación económica y reputacional a nivel interno por el incumplimiento de las metas al no suscribir nuevos negocios</t>
  </si>
  <si>
    <t>El profesional  de Nuevos Negocios realiza jornadas de lluvias de ideas, búsqueda de convocatorias públicas en la estructuración de nuevas empresas,  aprobación por parte del comité.</t>
  </si>
  <si>
    <t>Los profesionales de Nuevos negocios, realizan los estudios de mercado y estructuración del plan de negocio para identificar la viabilidad del negocio.</t>
  </si>
  <si>
    <t>Estudio financiero detallado</t>
  </si>
  <si>
    <t>La Estructuración inadecuada de 
los nuevos negocios</t>
  </si>
  <si>
    <t xml:space="preserve">Posibilidad de estructurar una línea de negocio inviable </t>
  </si>
  <si>
    <t xml:space="preserve">     Entre 10 y 50 SMLMV </t>
  </si>
  <si>
    <t>Contratación de personal Idóneo - 
Requisitos Contractuales - perfil</t>
  </si>
  <si>
    <t xml:space="preserve">Informes de seguimiento </t>
  </si>
  <si>
    <t>Adquirir los bienes, obras o servicios requeridos por la entidad, para atender las necesidades previstas en el Plan
Anual de Adquisiciones, mediante el desarrollo de las etapas contractuales, de acuerdo con la normativa vigente.</t>
  </si>
  <si>
    <t xml:space="preserve">El proceso inicia con la atención a la solicitud y finaliza con la liquidación o terminación normal o anormal
del contrato o convenio. </t>
  </si>
  <si>
    <t>Aplicación de investigaciones o sanciones por parte del ente regulador</t>
  </si>
  <si>
    <t>Por contratar un proponente que no cumpla con los requisitos para llevar a cabo el objeto de la contratación</t>
  </si>
  <si>
    <t>Posibilidad de afectación económica por  investigaciones o sanciones por parte del ente regulador,  por contratar un proponente que no cumpla con los requisitos para llevar a cabo el objeto de la contratación</t>
  </si>
  <si>
    <t>Dirección Contractual</t>
  </si>
  <si>
    <t xml:space="preserve">Gestionar actividades de promoción y prevención de seguridad y salud en el trabajo y administrar el SG-SST implementado en Empresas Públicas de Cundinamarca, en cumplimiento de normatividad
legal vigente. </t>
  </si>
  <si>
    <t>Servidores públicos, partes interesadas y contratistas que ejecuten sus labores dentro y fuera de la empresa.</t>
  </si>
  <si>
    <t xml:space="preserve"> Investigaciones y/o sanciones penales o fiscales</t>
  </si>
  <si>
    <t xml:space="preserve">  Debido a  accidentes y/o enfermedades laborales
materializadas</t>
  </si>
  <si>
    <t>Posibilidad de afectación reputacional y económica por investigaciones y/o sanciones, debido a  accidentes y/o enfermedades laborales
materializadas</t>
  </si>
  <si>
    <t>El responsable de Seguridad y Salud en el Trabajo, realiza el seguimiento al plan anual de seguridad y salud en el trabajo.</t>
  </si>
  <si>
    <t>Debido al incumplimiento de la normatividad del sistema de seguridad y salud en el trabajo</t>
  </si>
  <si>
    <t xml:space="preserve"> Posibilidad de afectación reputacional y económica por investigaciones y/o sanciones, debido al incumplimiento de la normatividad del sistema de seguridad y salud en el trabajo</t>
  </si>
  <si>
    <t>Evaluación de estándares mínimos del sistema de seguridad y salud en el trabajo por parte de la ARL</t>
  </si>
  <si>
    <t>anual</t>
  </si>
  <si>
    <t>Seguimiento por parte de la arl mensual al plan anual de seguridad y salud en el trabajo y controles de riesgos biológico por COVID-19</t>
  </si>
  <si>
    <t>mensual</t>
  </si>
  <si>
    <t>Investigaciones Internas</t>
  </si>
  <si>
    <t xml:space="preserve">Debido a la pérdida de elementos de
propiedad, planta y equipo
de la empresa. </t>
  </si>
  <si>
    <t xml:space="preserve">Posibilidad de afectación económica por investigaciones internas, debido a la falta de controles para evitar la pérdida de elementos de
propiedad, planta y equipo
de la empresa. </t>
  </si>
  <si>
    <t>Fraude Interno</t>
  </si>
  <si>
    <t>Elaborar los contratos necesarios para mantener la cobertura del plan de seguros de los bienes propios o que tenga bajo su cuidado su cuidado y custodia  Empresas Públicas de Cundinamarca.</t>
  </si>
  <si>
    <t>25%</t>
  </si>
  <si>
    <t>Finalizado</t>
  </si>
  <si>
    <t>Incumplimiento en las metas internas</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</si>
  <si>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</si>
  <si>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</si>
  <si>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Relaciones Laborales</t>
  </si>
  <si>
    <t>Usuarios,  Productos y Prácticas</t>
  </si>
  <si>
    <t>Fallas Técnologicas</t>
  </si>
  <si>
    <t>Daños a activos fijos/Eventos externos</t>
  </si>
  <si>
    <t>Dañps a  activos fijos/Eventos externos</t>
  </si>
  <si>
    <t>Clasificación de Riesgos</t>
  </si>
  <si>
    <t>Pérdidas derivadas de errores en la ejecución y administración de procesos.</t>
  </si>
  <si>
    <t>Pérdida derivada de actos de fraude por personas ajenas a las organización (no participa personal de la entidad).</t>
  </si>
  <si>
    <t>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t>
  </si>
  <si>
    <t>Errores en hardware, software, telecomunicaciones, interrupción de servicios básicos.</t>
  </si>
  <si>
    <t>Pérdidas que surgen de acciones contrarias a las leyes o acuerdos de empleo, salud o seguridad, del pago de demandas por daños personales o de discriminación.</t>
  </si>
  <si>
    <t>Fallas negligentes o involuntarias de las obligaciones frente a los usuarios y que impiden satisfacer una obligación profesional frente a éstos.</t>
  </si>
  <si>
    <t>Pérdida por daños o extravíos de los activos fijos por desastres naturales  u otros riesgos/eventos externos como atentados, vandalismo, orden público.</t>
  </si>
  <si>
    <t>Matriz de Calor Inherente</t>
  </si>
  <si>
    <t>Muy Alta
100%</t>
  </si>
  <si>
    <t>Extremo</t>
  </si>
  <si>
    <t>Alta
80%</t>
  </si>
  <si>
    <t>Media
60%</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</si>
  <si>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</si>
  <si>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</si>
  <si>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</si>
  <si>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</si>
  <si>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</si>
  <si>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</si>
  <si>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</si>
  <si>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</si>
  <si>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</si>
  <si>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</si>
  <si>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</si>
  <si>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</si>
  <si>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</si>
  <si>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</si>
  <si>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</si>
  <si>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</si>
  <si>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</si>
  <si>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</si>
  <si>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</si>
  <si>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</si>
  <si>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</si>
  <si>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</si>
  <si>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</si>
  <si>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</si>
  <si>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</si>
  <si>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</si>
  <si>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</si>
  <si>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</si>
  <si>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</si>
  <si>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</si>
  <si>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</si>
  <si>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</si>
  <si>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</si>
  <si>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</si>
  <si>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</si>
  <si>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</si>
  <si>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</si>
  <si>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</si>
  <si>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</si>
  <si>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</si>
  <si>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</si>
  <si>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El riesgo afecta la imagen de alguna área de la organización</t>
  </si>
  <si>
    <t>Pérdida_Reputacional</t>
  </si>
  <si>
    <t xml:space="preserve">     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</si>
  <si>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</si>
  <si>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</si>
  <si>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</si>
  <si>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</si>
  <si>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</si>
  <si>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</si>
  <si>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</si>
  <si>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</si>
  <si>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</si>
  <si>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</si>
  <si>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</si>
  <si>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</si>
  <si>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</si>
  <si>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</si>
  <si>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</si>
  <si>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</si>
  <si>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</si>
  <si>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</si>
  <si>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</si>
  <si>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</si>
  <si>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</si>
  <si>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</si>
  <si>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</si>
  <si>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</si>
  <si>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</si>
  <si>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Reducir (compartir)</t>
  </si>
  <si>
    <t>Plan de accion (solo para la opción reducir)</t>
  </si>
  <si>
    <t>Daños Activos Fisicos</t>
  </si>
  <si>
    <t>Fallas Tecnologicas</t>
  </si>
  <si>
    <t>Registro Sustancial</t>
  </si>
  <si>
    <t>Registro Material</t>
  </si>
  <si>
    <t>Sin registro</t>
  </si>
  <si>
    <t>Reducir</t>
  </si>
  <si>
    <t>Incumplimiento de los requisitos exigidos por la EPS</t>
  </si>
  <si>
    <t>Negación del reconocimiento de las incapacidades</t>
  </si>
  <si>
    <t xml:space="preserve"> Posibilidad de pérdida económica y/o reputacional por la negación del reconocimiento de las incapacidades debido al incumplimiento de los requisitos exigidos por la EPS</t>
  </si>
  <si>
    <t>1. El profesional de la Dirección de Gestión Humana y Administrativa se encargará una vez ingrese una incapacidad de ejecutar el procedimiento GH-Pc074 Tramite Incapacidades y Licencias</t>
  </si>
  <si>
    <t>Cuando se presenten</t>
  </si>
  <si>
    <t>Inconsistencia en la liquidación de la nómina</t>
  </si>
  <si>
    <t>1. El profesional de la Dirección de Gestión Humana y Administrativa se encargará una vez ingrese una incapacidad de ejecutar el procedimiento GH-Pc028 Liquidación de Nómina y otras Situaciones Administrativas</t>
  </si>
  <si>
    <t>Posibilidad de pérdida económica por demandas y reclamaciones debido a la configuración del contrato realidad</t>
  </si>
  <si>
    <t>demandas y reclamaciones por parte de los contratistas</t>
  </si>
  <si>
    <t xml:space="preserve">Posibilidad de afectación reputacional y económica por demandas y quejas por parte de los contratistas o proveedores debido ha demoras en el tramite y pago de cuentas. </t>
  </si>
  <si>
    <t>Demandas y quejas por parte de los contratistas o proveedores.</t>
  </si>
  <si>
    <t xml:space="preserve">Debido ha demoras en el tramite y pago de cuentas. </t>
  </si>
  <si>
    <t xml:space="preserve">Debido ha demoras en el tramite y pago de cuentas por parte del Supervisor y/o Profesional de Apoyo a la Supervisión de EPC. </t>
  </si>
  <si>
    <t xml:space="preserve">por la configuración de un contrato realidad </t>
  </si>
  <si>
    <t>Por realizar contratación que no cumple con las especificaciones necesarias para satisfacer las necesidades</t>
  </si>
  <si>
    <t>Gestionar de manera oportuna y con calidad los recursos de bienes y/o servicios necesarios para dar
cumplimiento al plan estratégico a través del desarrollo de procesos contractuales, administrativos y financieros.</t>
  </si>
  <si>
    <t>Inicia con el diagnostico de necesidades de Recursos Físicos, la gestión para la adquisición y
mantenimiento y finaliza con la prestación y evaluación de los servicios y/o bienes.</t>
  </si>
  <si>
    <t xml:space="preserve"> El profesional de Recursos Físicos y TI,  realiza el diligenciamiento del formato
GRFI-F152 Acta de Entrega y
devolución de Recursos
Físicos y TI</t>
  </si>
  <si>
    <t>Actualización permanente del formato GRFI-F195 Base de Datos Inventario General</t>
  </si>
  <si>
    <t>Debido a la falta de elementos o
disposición de servicios
para garantizar el normal
cumplimiento de los
objetivos de la empresa.</t>
  </si>
  <si>
    <t xml:space="preserve"> Posibilidad de afectación reputacional, por el incumplimiento en las metas internas, debido a la falta de elementos o
disposición de servicios
para garantizar el normal
cumplimiento de los
objetivos de la empresa.</t>
  </si>
  <si>
    <t xml:space="preserve">La Directora de Gestión Humana,  elabora el Plan de mantenimiento y
disponibilidad de recursos físicos. </t>
  </si>
  <si>
    <t xml:space="preserve">El profesional de Recursos Físicos y TI, realiza el Diligenciamiento de los
formatos GRFI-F120
Programación de salidas y
Asignación de vehículos. </t>
  </si>
  <si>
    <t xml:space="preserve">El profesional del apoyo del área realiza el análisis de los requerimientos de las áreas enviados a través de los formatos: GRFIF194 Formulario detección de necesidades de Recursos
Físicos y Tecnológicos,GRFI-F356 Solicitud de Mantenimiento para Vehículos Automotores, GRFI-F376 Requerimiento de Bienes y o Insumos, GRFI-F417 Reporte de incidencias. </t>
  </si>
  <si>
    <t>EL profesional de TI da respuesta a los requerimientos de las áreas mediante el sistema de mesa de ayuda https://epc.cloud.invgate.net/auth/login</t>
  </si>
  <si>
    <t>Los profesionales adelantan seguimiento a los diferentes proyectos que se debe realizar reformulaciones para mayor alcance y operacionalizad.</t>
  </si>
  <si>
    <t>Ejecución y Administración de procesos</t>
  </si>
  <si>
    <t>Posibilidad de no viabilizarían de proyectos incumpliendo las metas del plan de desarrollo</t>
  </si>
  <si>
    <t>Debido al incumplimiento de la normatividad archivística</t>
  </si>
  <si>
    <t>Posibilidad de afectación económica y reputacional por sanciones por parte del ente de control  debido al incumplimiento de la normatividad archivística</t>
  </si>
  <si>
    <t>Herramienta de seguimiento de cumplimiento de los instrumentos archivísticos</t>
  </si>
  <si>
    <t>Queja o reclamo de un servidor de la Entidad y/o sanción del ente regulador</t>
  </si>
  <si>
    <t>Posibilidad de pérdida económica y/o reputacional por queja o reclamo de un servidor de la Entidad y/o sanción del ente regulador, debido a la inconsistencia en la liquidación de la nómina por incumplimiento de requisitos de ley</t>
  </si>
  <si>
    <t xml:space="preserve">Operación de servicios públicos domiciliarios </t>
  </si>
  <si>
    <t xml:space="preserve">Implementar políticas para la operación de servicios públicos domiciliarios, incluida la gestión ante emergencias
relacionadas con el sector de agua potable y saneamiento básicos a nivel departamental. </t>
  </si>
  <si>
    <t>Incluye las actividades de planificación, desarrollo y seguimiento de los planes estratégicos de las
direcciones a su cargo.</t>
  </si>
  <si>
    <t>Falencias en la atención oportuna de emergencias</t>
  </si>
  <si>
    <t>Posibilidad de afectación reputacional debido a falencias en la atención oportuna de emergencias</t>
  </si>
  <si>
    <t>La profesional de Dirección Operativa y de Proyectos Especiales, realiza el seguimiento de las solicitudes de atención de emergencias radicadas por los municipios, generando prioridades y alertas en los tiempos de atención.</t>
  </si>
  <si>
    <t>Actualización de la base de atención de emergencias de la Dirección Operativa y de Proyectos Especiales y generación de lista de emergencias no atendidas o con demoras y/o dificultades en la atención.</t>
  </si>
  <si>
    <t>La profesional de Dirección Operativa y de Proyectos Especiales, revisa la fecha de radicación de las solicitudes de atención de emergencias, verificando el cumplimiento de los requisitos y determinando responsabilidades por la no atención.</t>
  </si>
  <si>
    <t>Posibilidad de afectación reputacional y económica debido a Investigaciones, hallazgos o aplicación de sanciones por parte de entidades de control y vigilancia o demandas  por el  incumplimiento en las obligaciones de la empresa como socio especializado operador</t>
  </si>
  <si>
    <t>El profesional de apoyo jurídico de la dirección de aseguramiento realiza un control a la ejecución de las reuniones de las juntas directivas de las empresas socias con el fin de realizar el seguimiento al cumplimiento de compromisos y obligaciones</t>
  </si>
  <si>
    <t>*Desarrollo del procedimiento GF-F127 Lista de Chequeo Cuentas de Cobro recursos FIA-PDA.
*Actualización constante de la información tributaria de los Municipios del departamento.
*Desarrollo del procedimiento GF-Pc042 Autorización De Pago De Cuentas Con Recursos PDA.</t>
  </si>
  <si>
    <t>*Actualización constante de la normatividad que rige la presentación de los informes a rendir.
*Desarrollo del procedimiento GF-Pc008 Rendición de Informes Externos.
*Desarrollo del procedimiento GF-F128 Cronograma de Rendición de Informes.</t>
  </si>
  <si>
    <t>*Desarrollo del procedimiento GF-Pc010 Elaboración y Aprobación de Presupuesto.
*Desarrollo del procedimiento GF-Pc018 Modificación y Traslados Presupuestales.</t>
  </si>
  <si>
    <t>El profesional de la Dirección de Finanzas y Presupuesto realiza revisión de la información adjunta con las facturas y cuentas de cobro para corroborar que cumpla con los requisitos para su tramite.</t>
  </si>
  <si>
    <t>Noviembre 2022 a Noviembre 2023</t>
  </si>
  <si>
    <t>Fecha de Actualización: 8 de Noviembre 2022</t>
  </si>
  <si>
    <t>Posibilidad de afectación  reputacional por investigaciones o sanciones por parte de los entes  de control y vigilancia, debido a no rendir o presentar las cuentas e informes exigidos ordinariamente, o no hacerlo en la
forma y oportunidad establecidas.</t>
  </si>
  <si>
    <t>Los profesionales de la Dirección de Gestión Contractual verifican el cumplimiento de los requisitos habilitantes y evalúa las propuestas  de conformidad con lo señalado en la legislación colombiana,  en el pliego de condiciones  o invitación pública, a través de Listas de Chequeo, Informes de Evaluación, Certificaciones de Idoneidad y los requerimientos a subsanar o aclaración de requisitos de la propuesta.</t>
  </si>
  <si>
    <t>Durante la vigencia</t>
  </si>
  <si>
    <t>1. se cuenta con el RESOLUCION 032 DE 2022 Manual de Interventoría Y Supervisión, el cual se socializa en la entidad</t>
  </si>
  <si>
    <t>Posibilidad de afectación económica por  investigaciones o sanciones por parte del ente regulador,  por inadecuada planeación contractual (falencias en especificaciones del contrato)  por desconocimiento</t>
  </si>
  <si>
    <t xml:space="preserve"> enero - Diciembre</t>
  </si>
  <si>
    <t>Permanente</t>
  </si>
  <si>
    <t>El Asesor y el Director de Gestión Contractual  realizan la revisión y aprobación  de los diferentes procesos de selección  de contratistas. (según aplique al tipo de contratación)</t>
  </si>
  <si>
    <t>1. los abogados de la dirección contractual en cada contrato realizado establecen las respectivas clausulas contractuales, en las cuales se establecen las obligaciones tanto de la entidad como del contratista.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</si>
</sst>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2"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9" tint="-0.249977111117893"/>
      <name val="Arial Narrow"/>
      <family val="2"/>
    </font>
    <font>
      <b/>
      <sz val="22"/>
      <color theme="1"/>
      <name val="Tahoma"/>
      <family val="2"/>
    </font>
    <font>
      <b/>
      <sz val="12"/>
      <color theme="1"/>
      <name val="Tahoma"/>
      <family val="2"/>
    </font>
    <font>
      <sz val="12"/>
      <color theme="1"/>
      <name val="Tahoma"/>
      <family val="2"/>
    </font>
    <font>
      <b/>
      <sz val="18"/>
      <color theme="1"/>
      <name val="Tahoma"/>
      <family val="2"/>
    </font>
    <font>
      <b/>
      <sz val="10"/>
      <color rgb="FF000000"/>
      <name val="Tahoma"/>
      <family val="2"/>
    </font>
    <font>
      <b/>
      <sz val="10"/>
      <color rgb="FF000000"/>
      <name val="Arial"/>
      <family val="2"/>
    </font>
    <font>
      <sz val="10"/>
      <color rgb="FF000000"/>
      <name val="Arial"/>
      <family val="2"/>
    </font>
    <font>
      <sz val="10"/>
      <color rgb="FF000000"/>
      <name val="Tahoma"/>
      <family val="2"/>
    </font>
    <font>
      <b/>
      <sz val="10"/>
      <color rgb="FFFF0000"/>
      <name val="Arial"/>
      <family val="2"/>
    </font>
    <font>
      <sz val="10"/>
      <color rgb="FFFF0000"/>
      <name val="Arial"/>
      <family val="2"/>
    </font>
    <font>
      <sz val="10"/>
      <color rgb="FFFF0000"/>
      <name val="Tahoma"/>
      <family val="2"/>
    </font>
    <font>
      <b/>
      <sz val="14"/>
      <color theme="1"/>
      <name val="Arial Narrow"/>
      <family val="2"/>
    </font>
    <font>
      <b/>
      <sz val="20"/>
      <color theme="1"/>
      <name val="Tahoma"/>
      <family val="2"/>
    </font>
    <font>
      <sz val="20"/>
      <color theme="1"/>
      <name val="Tahoma"/>
      <family val="2"/>
    </font>
    <font>
      <sz val="12"/>
      <name val="Tahoma"/>
      <family val="2"/>
    </font>
    <font>
      <b/>
      <sz val="9"/>
      <color indexed="81"/>
      <name val="Tahoma"/>
      <family val="2"/>
    </font>
    <font>
      <sz val="9"/>
      <color indexed="81"/>
      <name val="Tahoma"/>
      <family val="2"/>
    </font>
    <font>
      <sz val="11"/>
      <color rgb="FFFF0000"/>
      <name val="Arial Narrow"/>
      <family val="2"/>
    </font>
    <font>
      <sz val="12"/>
      <color rgb="FFFF0000"/>
      <name val="Tahoma"/>
      <family val="2"/>
    </font>
    <font>
      <sz val="11"/>
      <color rgb="FFFF0000"/>
      <name val="Tahoma"/>
      <family val="2"/>
    </font>
    <font>
      <sz val="8"/>
      <name val="Calibri"/>
      <family val="2"/>
      <scheme val="minor"/>
    </font>
    <font>
      <b/>
      <i/>
      <sz val="12"/>
      <color theme="1"/>
      <name val="Tahoma"/>
      <family val="2"/>
    </font>
    <font>
      <sz val="11"/>
      <color theme="1"/>
      <name val="Tahoma"/>
      <family val="2"/>
    </font>
    <font>
      <b/>
      <sz val="11"/>
      <color theme="1"/>
      <name val="Tahoma"/>
      <family val="2"/>
    </font>
    <font>
      <sz val="10"/>
      <color theme="1"/>
      <name val="Tahoma"/>
      <family val="2"/>
    </font>
  </fonts>
  <fills count="22">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rgb="FFFFDDFF"/>
        <bgColor indexed="64"/>
      </patternFill>
    </fill>
  </fills>
  <borders count="180">
    <border>
      <left/>
      <right/>
      <top/>
      <bottom/>
      <diagonal/>
    </border>
    <border>
      <left style="dotted">
        <color rgb="FFF79646"/>
      </left>
      <right style="dotted">
        <color rgb="FFF79646"/>
      </right>
      <top style="dotted">
        <color rgb="FFF79646"/>
      </top>
      <bottom style="dotted">
        <color rgb="FFF79646"/>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dashed">
        <color theme="9" tint="-0.24994659260841701"/>
      </left>
      <right/>
      <top/>
      <bottom style="dashed">
        <color theme="9" tint="-0.24994659260841701"/>
      </bottom>
      <diagonal/>
    </border>
    <border>
      <left style="dashed">
        <color theme="9" tint="-0.24994659260841701"/>
      </left>
      <right style="dashed">
        <color theme="9" tint="-0.24994659260841701"/>
      </right>
      <top style="dashed">
        <color theme="9" tint="-0.24994659260841701"/>
      </top>
      <bottom/>
      <diagonal/>
    </border>
    <border>
      <left style="dashed">
        <color theme="9" tint="-0.24994659260841701"/>
      </left>
      <right style="dashed">
        <color theme="9" tint="-0.24994659260841701"/>
      </right>
      <top/>
      <bottom style="dashed">
        <color theme="9" tint="-0.24994659260841701"/>
      </bottom>
      <diagonal/>
    </border>
    <border>
      <left style="dashed">
        <color theme="9" tint="-0.24994659260841701"/>
      </left>
      <right/>
      <top style="dashed">
        <color theme="9" tint="-0.24994659260841701"/>
      </top>
      <bottom style="dashed">
        <color theme="9" tint="-0.24994659260841701"/>
      </bottom>
      <diagonal/>
    </border>
    <border>
      <left/>
      <right style="dashed">
        <color theme="9" tint="-0.24994659260841701"/>
      </right>
      <top style="dashed">
        <color theme="9" tint="-0.24994659260841701"/>
      </top>
      <bottom style="dashed">
        <color theme="9" tint="-0.24994659260841701"/>
      </bottom>
      <diagonal/>
    </border>
    <border>
      <left style="dashed">
        <color theme="9" tint="-0.24994659260841701"/>
      </left>
      <right style="dashed">
        <color theme="9" tint="-0.24994659260841701"/>
      </right>
      <top/>
      <bottom/>
      <diagonal/>
    </border>
    <border>
      <left style="dashed">
        <color theme="9" tint="-0.24994659260841701"/>
      </left>
      <right/>
      <top/>
      <bottom/>
      <diagonal/>
    </border>
    <border>
      <left/>
      <right/>
      <top style="dashed">
        <color theme="9" tint="-0.24994659260841701"/>
      </top>
      <bottom style="dashed">
        <color theme="9" tint="-0.24994659260841701"/>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top style="dashed">
        <color theme="9" tint="-0.24994659260841701"/>
      </top>
      <bottom/>
      <diagonal/>
    </border>
    <border>
      <left/>
      <right style="dashed">
        <color theme="9" tint="-0.24994659260841701"/>
      </right>
      <top style="dashed">
        <color theme="9" tint="-0.24994659260841701"/>
      </top>
      <bottom/>
      <diagonal/>
    </border>
    <border>
      <left/>
      <right/>
      <top/>
      <bottom style="dashed">
        <color theme="9" tint="-0.24994659260841701"/>
      </bottom>
      <diagonal/>
    </border>
    <border>
      <left/>
      <right style="dashed">
        <color theme="9" tint="-0.24994659260841701"/>
      </right>
      <top/>
      <bottom style="dashed">
        <color theme="9" tint="-0.2499465926084170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dashed">
        <color theme="9" tint="-0.24994659260841701"/>
      </right>
      <top/>
      <bottom/>
      <diagonal/>
    </border>
    <border>
      <left style="dashed">
        <color theme="9" tint="-0.249977111117893"/>
      </left>
      <right style="dashed">
        <color theme="9" tint="-0.249977111117893"/>
      </right>
      <top style="dashed">
        <color theme="9" tint="-0.249977111117893"/>
      </top>
      <bottom style="dashed">
        <color theme="9" tint="-0.249977111117893"/>
      </bottom>
      <diagonal/>
    </border>
    <border>
      <left style="dashed">
        <color theme="9" tint="-0.249977111117893"/>
      </left>
      <right/>
      <top/>
      <bottom/>
      <diagonal/>
    </border>
    <border>
      <left style="dashed">
        <color theme="9" tint="-0.249977111117893"/>
      </left>
      <right/>
      <top/>
      <bottom style="dashed">
        <color theme="9" tint="-0.249977111117893"/>
      </bottom>
      <diagonal/>
    </border>
    <border>
      <left style="dashed">
        <color theme="9" tint="-0.249977111117893"/>
      </left>
      <right style="dashed">
        <color theme="9" tint="-0.249977111117893"/>
      </right>
      <top/>
      <bottom/>
      <diagonal/>
    </border>
    <border>
      <left style="dashed">
        <color theme="9" tint="-0.249977111117893"/>
      </left>
      <right style="dashed">
        <color theme="9" tint="-0.249977111117893"/>
      </right>
      <top/>
      <bottom style="dashed">
        <color theme="9" tint="-0.249977111117893"/>
      </bottom>
      <diagonal/>
    </border>
    <border>
      <left style="dashed">
        <color theme="9" tint="-0.24994659260841701"/>
      </left>
      <right style="dashed">
        <color theme="9" tint="-0.24994659260841701"/>
      </right>
      <top/>
      <bottom style="dashed">
        <color theme="9" tint="-0.249977111117893"/>
      </bottom>
      <diagonal/>
    </border>
    <border>
      <left style="dashed">
        <color theme="9" tint="-0.249977111117893"/>
      </left>
      <right style="dashed">
        <color theme="9" tint="-0.24994659260841701"/>
      </right>
      <top/>
      <bottom style="dashed">
        <color theme="9" tint="-0.249977111117893"/>
      </bottom>
      <diagonal/>
    </border>
    <border>
      <left style="dashed">
        <color theme="9" tint="-0.24994659260841701"/>
      </left>
      <right style="dashed">
        <color theme="9" tint="-0.249977111117893"/>
      </right>
      <top/>
      <bottom style="dashed">
        <color theme="9" tint="-0.249977111117893"/>
      </bottom>
      <diagonal/>
    </border>
    <border>
      <left/>
      <right/>
      <top/>
      <bottom style="dashed">
        <color theme="9" tint="-0.249977111117893"/>
      </bottom>
      <diagonal/>
    </border>
    <border>
      <left/>
      <right style="dashed">
        <color theme="9" tint="-0.249977111117893"/>
      </right>
      <top style="dashed">
        <color theme="9" tint="-0.249977111117893"/>
      </top>
      <bottom/>
      <diagonal/>
    </border>
    <border>
      <left/>
      <right style="dashed">
        <color theme="9" tint="-0.249977111117893"/>
      </right>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right style="dashed">
        <color theme="9" tint="-0.24994659260841701"/>
      </right>
      <top/>
      <bottom style="dashed">
        <color theme="9" tint="-0.249977111117893"/>
      </bottom>
      <diagonal/>
    </border>
    <border>
      <left style="dashed">
        <color theme="9" tint="-0.249977111117893"/>
      </left>
      <right style="dashed">
        <color theme="9" tint="-0.249977111117893"/>
      </right>
      <top style="dashed">
        <color theme="9" tint="-0.24994659260841701"/>
      </top>
      <bottom style="dashed">
        <color theme="9" tint="-0.249977111117893"/>
      </bottom>
      <diagonal/>
    </border>
    <border>
      <left style="dashed">
        <color theme="9" tint="-0.24994659260841701"/>
      </left>
      <right/>
      <top style="dashed">
        <color theme="9" tint="-0.24994659260841701"/>
      </top>
      <bottom style="dashed">
        <color theme="9" tint="-0.249977111117893"/>
      </bottom>
      <diagonal/>
    </border>
    <border>
      <left/>
      <right/>
      <top style="dashed">
        <color theme="9" tint="-0.24994659260841701"/>
      </top>
      <bottom style="dashed">
        <color theme="9" tint="-0.249977111117893"/>
      </bottom>
      <diagonal/>
    </border>
    <border>
      <left style="dashed">
        <color theme="9" tint="-0.24994659260841701"/>
      </left>
      <right style="dashed">
        <color theme="9" tint="-0.249977111117893"/>
      </right>
      <top/>
      <bottom/>
      <diagonal/>
    </border>
    <border>
      <left style="dashed">
        <color theme="9" tint="-0.249977111117893"/>
      </left>
      <right style="dashed">
        <color theme="9" tint="-0.24994659260841701"/>
      </right>
      <top/>
      <bottom/>
      <diagonal/>
    </border>
    <border>
      <left style="dashed">
        <color theme="9" tint="-0.249977111117893"/>
      </left>
      <right style="dashed">
        <color theme="9" tint="-0.249977111117893"/>
      </right>
      <top/>
      <bottom style="dashed">
        <color theme="9" tint="-0.24994659260841701"/>
      </bottom>
      <diagonal/>
    </border>
    <border>
      <left/>
      <right style="dashed">
        <color theme="9" tint="-0.249977111117893"/>
      </right>
      <top/>
      <bottom style="dashed">
        <color theme="9" tint="-0.249977111117893"/>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style="thin">
        <color indexed="64"/>
      </right>
      <top style="dashed">
        <color theme="9" tint="-0.24994659260841701"/>
      </top>
      <bottom style="dashed">
        <color theme="9" tint="-0.24994659260841701"/>
      </bottom>
      <diagonal/>
    </border>
    <border>
      <left style="thin">
        <color indexed="64"/>
      </left>
      <right/>
      <top style="dashed">
        <color theme="9" tint="-0.24994659260841701"/>
      </top>
      <bottom/>
      <diagonal/>
    </border>
    <border>
      <left style="thin">
        <color indexed="64"/>
      </left>
      <right/>
      <top/>
      <bottom style="dashed">
        <color theme="9" tint="-0.24994659260841701"/>
      </bottom>
      <diagonal/>
    </border>
    <border>
      <left/>
      <right style="dotted">
        <color rgb="FFF79646"/>
      </right>
      <top style="dotted">
        <color rgb="FFF79646"/>
      </top>
      <bottom style="dotted">
        <color rgb="FFF79646"/>
      </bottom>
      <diagonal/>
    </border>
    <border>
      <left/>
      <right style="dotted">
        <color rgb="FFF79646"/>
      </right>
      <top/>
      <bottom style="dotted">
        <color rgb="FFF79646"/>
      </bottom>
      <diagonal/>
    </border>
    <border>
      <left style="dashed">
        <color theme="9" tint="-0.249977111117893"/>
      </left>
      <right style="dashed">
        <color theme="9" tint="-0.249977111117893"/>
      </right>
      <top style="dashed">
        <color theme="9" tint="-0.249977111117893"/>
      </top>
      <bottom/>
      <diagonal/>
    </border>
    <border>
      <left style="dashed">
        <color theme="9" tint="-0.249977111117893"/>
      </left>
      <right style="dashed">
        <color theme="9" tint="-0.24994659260841701"/>
      </right>
      <top style="dashed">
        <color theme="9" tint="-0.249977111117893"/>
      </top>
      <bottom/>
      <diagonal/>
    </border>
    <border>
      <left style="dashed">
        <color theme="9" tint="-0.24994659260841701"/>
      </left>
      <right style="dashed">
        <color theme="9" tint="-0.24994659260841701"/>
      </right>
      <top style="dashed">
        <color theme="9" tint="-0.249977111117893"/>
      </top>
      <bottom/>
      <diagonal/>
    </border>
    <border>
      <left style="dashed">
        <color theme="9" tint="-0.249977111117893"/>
      </left>
      <right style="dashed">
        <color theme="9" tint="-0.24994659260841701"/>
      </right>
      <top/>
      <bottom style="dashed">
        <color theme="9" tint="-0.24994659260841701"/>
      </bottom>
      <diagonal/>
    </border>
    <border>
      <left style="dashed">
        <color theme="9" tint="-0.249977111117893"/>
      </left>
      <right style="dashed">
        <color theme="9" tint="-0.249977111117893"/>
      </right>
      <top/>
      <bottom style="thin">
        <color indexed="64"/>
      </bottom>
      <diagonal/>
    </border>
    <border>
      <left style="dashed">
        <color theme="9" tint="-0.249977111117893"/>
      </left>
      <right/>
      <top style="dashed">
        <color theme="9" tint="-0.249977111117893"/>
      </top>
      <bottom/>
      <diagonal/>
    </border>
    <border>
      <left style="dashed">
        <color theme="9" tint="-0.249977111117893"/>
      </left>
      <right style="dashed">
        <color theme="9" tint="-0.249977111117893"/>
      </right>
      <top style="thin">
        <color indexed="64"/>
      </top>
      <bottom/>
      <diagonal/>
    </border>
    <border>
      <left style="dashed">
        <color theme="9" tint="-0.249977111117893"/>
      </left>
      <right style="dashed">
        <color theme="9" tint="-0.24994659260841701"/>
      </right>
      <top style="dashed">
        <color theme="9" tint="-0.24994659260841701"/>
      </top>
      <bottom/>
      <diagonal/>
    </border>
    <border>
      <left style="dashed">
        <color theme="9" tint="-0.24994659260841701"/>
      </left>
      <right style="dotted">
        <color theme="9"/>
      </right>
      <top style="dashed">
        <color theme="9" tint="-0.249977111117893"/>
      </top>
      <bottom/>
      <diagonal/>
    </border>
    <border>
      <left style="dotted">
        <color theme="9"/>
      </left>
      <right style="dotted">
        <color theme="9"/>
      </right>
      <top style="dotted">
        <color theme="9"/>
      </top>
      <bottom style="hair">
        <color theme="9"/>
      </bottom>
      <diagonal/>
    </border>
    <border>
      <left/>
      <right style="dashed">
        <color theme="9" tint="-0.24994659260841701"/>
      </right>
      <top style="dashed">
        <color theme="9" tint="-0.249977111117893"/>
      </top>
      <bottom style="hair">
        <color theme="9"/>
      </bottom>
      <diagonal/>
    </border>
    <border>
      <left style="dashed">
        <color theme="9" tint="-0.24994659260841701"/>
      </left>
      <right style="dashed">
        <color theme="9" tint="-0.24994659260841701"/>
      </right>
      <top style="dotted">
        <color rgb="FFFF9900"/>
      </top>
      <bottom/>
      <diagonal/>
    </border>
    <border>
      <left style="thin">
        <color indexed="64"/>
      </left>
      <right style="dashed">
        <color theme="9" tint="-0.249977111117893"/>
      </right>
      <top style="thin">
        <color rgb="FFFF9900"/>
      </top>
      <bottom/>
      <diagonal/>
    </border>
    <border>
      <left style="dashed">
        <color theme="9" tint="-0.249977111117893"/>
      </left>
      <right/>
      <top style="thin">
        <color rgb="FFFF9900"/>
      </top>
      <bottom/>
      <diagonal/>
    </border>
    <border>
      <left style="thin">
        <color rgb="FFFF9900"/>
      </left>
      <right style="dashed">
        <color theme="9" tint="-0.249977111117893"/>
      </right>
      <top style="thin">
        <color rgb="FFFF9900"/>
      </top>
      <bottom/>
      <diagonal/>
    </border>
    <border>
      <left/>
      <right style="dashed">
        <color theme="9" tint="-0.24994659260841701"/>
      </right>
      <top style="thin">
        <color rgb="FFFF9900"/>
      </top>
      <bottom/>
      <diagonal/>
    </border>
    <border>
      <left style="dashed">
        <color theme="9" tint="-0.24994659260841701"/>
      </left>
      <right style="dashed">
        <color theme="9" tint="-0.24994659260841701"/>
      </right>
      <top style="thin">
        <color rgb="FFFF9900"/>
      </top>
      <bottom/>
      <diagonal/>
    </border>
    <border>
      <left style="dashed">
        <color theme="9" tint="-0.24994659260841701"/>
      </left>
      <right style="dashed">
        <color theme="9" tint="-0.24994659260841701"/>
      </right>
      <top style="thin">
        <color rgb="FFFF9900"/>
      </top>
      <bottom style="dashed">
        <color theme="9" tint="-0.24994659260841701"/>
      </bottom>
      <diagonal/>
    </border>
    <border>
      <left style="thin">
        <color indexed="64"/>
      </left>
      <right style="dashed">
        <color theme="9" tint="-0.249977111117893"/>
      </right>
      <top/>
      <bottom style="thin">
        <color rgb="FFFF9900"/>
      </bottom>
      <diagonal/>
    </border>
    <border>
      <left style="dashed">
        <color theme="9" tint="-0.249977111117893"/>
      </left>
      <right/>
      <top/>
      <bottom style="thin">
        <color rgb="FFFF9900"/>
      </bottom>
      <diagonal/>
    </border>
    <border>
      <left style="thin">
        <color rgb="FFFF9900"/>
      </left>
      <right style="dashed">
        <color theme="9" tint="-0.249977111117893"/>
      </right>
      <top/>
      <bottom style="thin">
        <color rgb="FFFF9900"/>
      </bottom>
      <diagonal/>
    </border>
    <border>
      <left/>
      <right style="dashed">
        <color theme="9" tint="-0.24994659260841701"/>
      </right>
      <top/>
      <bottom style="thin">
        <color rgb="FFFF9900"/>
      </bottom>
      <diagonal/>
    </border>
    <border>
      <left style="dashed">
        <color theme="9" tint="-0.24994659260841701"/>
      </left>
      <right style="dashed">
        <color theme="9" tint="-0.24994659260841701"/>
      </right>
      <top/>
      <bottom style="thin">
        <color rgb="FFFF9900"/>
      </bottom>
      <diagonal/>
    </border>
    <border>
      <left style="dashed">
        <color theme="9" tint="-0.24994659260841701"/>
      </left>
      <right style="dashed">
        <color theme="9" tint="-0.24994659260841701"/>
      </right>
      <top style="dashed">
        <color theme="9" tint="-0.24994659260841701"/>
      </top>
      <bottom style="thin">
        <color rgb="FFFF9900"/>
      </bottom>
      <diagonal/>
    </border>
    <border>
      <left style="dashed">
        <color theme="9" tint="-0.249977111117893"/>
      </left>
      <right style="dashed">
        <color theme="9" tint="-0.249977111117893"/>
      </right>
      <top/>
      <bottom style="thin">
        <color rgb="FFFF9900"/>
      </bottom>
      <diagonal/>
    </border>
    <border>
      <left style="dashed">
        <color theme="9" tint="-0.249977111117893"/>
      </left>
      <right style="dashed">
        <color theme="9" tint="-0.249977111117893"/>
      </right>
      <top style="thin">
        <color rgb="FFFF9900"/>
      </top>
      <bottom style="dashed">
        <color theme="9" tint="-0.249977111117893"/>
      </bottom>
      <diagonal/>
    </border>
    <border>
      <left style="dashed">
        <color theme="9" tint="-0.249977111117893"/>
      </left>
      <right style="dashed">
        <color theme="9" tint="-0.249977111117893"/>
      </right>
      <top style="dashed">
        <color theme="9" tint="-0.249977111117893"/>
      </top>
      <bottom style="thin">
        <color rgb="FFFF9900"/>
      </bottom>
      <diagonal/>
    </border>
    <border>
      <left style="dashed">
        <color theme="9" tint="-0.249977111117893"/>
      </left>
      <right style="dashed">
        <color theme="9" tint="-0.249977111117893"/>
      </right>
      <top style="thin">
        <color rgb="FFFF9900"/>
      </top>
      <bottom/>
      <diagonal/>
    </border>
    <border>
      <left style="dashed">
        <color theme="9" tint="-0.249977111117893"/>
      </left>
      <right style="dashed">
        <color theme="9" tint="-0.24994659260841701"/>
      </right>
      <top/>
      <bottom style="thin">
        <color rgb="FFFF9900"/>
      </bottom>
      <diagonal/>
    </border>
    <border>
      <left style="thin">
        <color indexed="64"/>
      </left>
      <right style="dashed">
        <color theme="9" tint="-0.249977111117893"/>
      </right>
      <top/>
      <bottom/>
      <diagonal/>
    </border>
    <border>
      <left style="thin">
        <color rgb="FFFF9900"/>
      </left>
      <right style="dashed">
        <color theme="9" tint="-0.249977111117893"/>
      </right>
      <top/>
      <bottom/>
      <diagonal/>
    </border>
    <border>
      <left style="dashed">
        <color theme="9" tint="-0.24994659260841701"/>
      </left>
      <right style="dashed">
        <color theme="9" tint="-0.24994659260841701"/>
      </right>
      <top/>
      <bottom style="dotted">
        <color theme="9" tint="-0.249977111117893"/>
      </bottom>
      <diagonal/>
    </border>
    <border>
      <left style="dashed">
        <color theme="9" tint="-0.24994659260841701"/>
      </left>
      <right style="dashed">
        <color theme="9" tint="-0.24994659260841701"/>
      </right>
      <top style="dotted">
        <color theme="9" tint="-0.249977111117893"/>
      </top>
      <bottom/>
      <diagonal/>
    </border>
    <border>
      <left style="dotted">
        <color theme="9" tint="-0.249977111117893"/>
      </left>
      <right style="dashed">
        <color theme="9" tint="-0.24994659260841701"/>
      </right>
      <top style="dotted">
        <color theme="9" tint="-0.249977111117893"/>
      </top>
      <bottom/>
      <diagonal/>
    </border>
    <border>
      <left style="dashed">
        <color theme="9" tint="-0.24994659260841701"/>
      </left>
      <right style="dotted">
        <color theme="9" tint="-0.249977111117893"/>
      </right>
      <top style="dotted">
        <color theme="9" tint="-0.249977111117893"/>
      </top>
      <bottom/>
      <diagonal/>
    </border>
    <border>
      <left style="dotted">
        <color theme="9" tint="-0.249977111117893"/>
      </left>
      <right style="dashed">
        <color theme="9" tint="-0.24994659260841701"/>
      </right>
      <top/>
      <bottom style="dotted">
        <color theme="9" tint="-0.249977111117893"/>
      </bottom>
      <diagonal/>
    </border>
    <border>
      <left style="dashed">
        <color theme="9" tint="-0.24994659260841701"/>
      </left>
      <right style="dotted">
        <color theme="9" tint="-0.249977111117893"/>
      </right>
      <top style="dotted">
        <color theme="9" tint="-0.249977111117893"/>
      </top>
      <bottom style="dotted">
        <color theme="9" tint="-0.249977111117893"/>
      </bottom>
      <diagonal/>
    </border>
    <border>
      <left style="dashed">
        <color theme="9" tint="-0.24994659260841701"/>
      </left>
      <right style="dotted">
        <color theme="9" tint="-0.249977111117893"/>
      </right>
      <top/>
      <bottom/>
      <diagonal/>
    </border>
    <border>
      <left style="dotted">
        <color theme="9" tint="-0.249977111117893"/>
      </left>
      <right style="dashed">
        <color theme="9" tint="-0.24994659260841701"/>
      </right>
      <top style="dotted">
        <color theme="9" tint="-0.249977111117893"/>
      </top>
      <bottom style="dotted">
        <color theme="9" tint="-0.249977111117893"/>
      </bottom>
      <diagonal/>
    </border>
    <border>
      <left style="dashed">
        <color theme="9" tint="-0.24994659260841701"/>
      </left>
      <right style="dashed">
        <color theme="9" tint="-0.24994659260841701"/>
      </right>
      <top style="dotted">
        <color theme="9" tint="-0.249977111117893"/>
      </top>
      <bottom style="dotted">
        <color theme="9" tint="-0.249977111117893"/>
      </bottom>
      <diagonal/>
    </border>
    <border>
      <left style="dotted">
        <color theme="9" tint="-0.249977111117893"/>
      </left>
      <right style="dashed">
        <color theme="9" tint="-0.24994659260841701"/>
      </right>
      <top/>
      <bottom/>
      <diagonal/>
    </border>
    <border>
      <left style="dashed">
        <color theme="9" tint="-0.24994659260841701"/>
      </left>
      <right/>
      <top style="dashed">
        <color theme="9" tint="-0.24994659260841701"/>
      </top>
      <bottom/>
      <diagonal/>
    </border>
    <border>
      <left/>
      <right style="dashed">
        <color theme="9" tint="-0.24994659260841701"/>
      </right>
      <top style="dotted">
        <color theme="9" tint="-0.249977111117893"/>
      </top>
      <bottom style="dotted">
        <color theme="9" tint="-0.249977111117893"/>
      </bottom>
      <diagonal/>
    </border>
    <border>
      <left style="dashed">
        <color theme="9" tint="-0.24994659260841701"/>
      </left>
      <right/>
      <top style="dotted">
        <color theme="9" tint="-0.249977111117893"/>
      </top>
      <bottom style="dotted">
        <color theme="9" tint="-0.249977111117893"/>
      </bottom>
      <diagonal/>
    </border>
    <border>
      <left style="dashed">
        <color theme="9" tint="-0.24994659260841701"/>
      </left>
      <right/>
      <top style="dashed">
        <color theme="9" tint="-0.24994659260841701"/>
      </top>
      <bottom style="thin">
        <color rgb="FFFF9900"/>
      </bottom>
      <diagonal/>
    </border>
    <border>
      <left style="dashed">
        <color theme="9" tint="-0.24994659260841701"/>
      </left>
      <right/>
      <top style="thin">
        <color rgb="FFFF9900"/>
      </top>
      <bottom/>
      <diagonal/>
    </border>
    <border>
      <left style="dashed">
        <color theme="9" tint="-0.24994659260841701"/>
      </left>
      <right style="dotted">
        <color theme="9" tint="-0.249977111117893"/>
      </right>
      <top style="dashed">
        <color theme="9" tint="-0.24994659260841701"/>
      </top>
      <bottom/>
      <diagonal/>
    </border>
    <border>
      <left style="dashed">
        <color theme="9" tint="-0.24994659260841701"/>
      </left>
      <right style="dotted">
        <color theme="9" tint="-0.249977111117893"/>
      </right>
      <top style="dashed">
        <color theme="9" tint="-0.24994659260841701"/>
      </top>
      <bottom style="thin">
        <color rgb="FFFF9900"/>
      </bottom>
      <diagonal/>
    </border>
    <border>
      <left style="dashed">
        <color theme="9" tint="-0.24994659260841701"/>
      </left>
      <right style="dotted">
        <color theme="9" tint="-0.249977111117893"/>
      </right>
      <top style="thin">
        <color rgb="FFFF9900"/>
      </top>
      <bottom/>
      <diagonal/>
    </border>
    <border>
      <left style="dashed">
        <color theme="9" tint="-0.24994659260841701"/>
      </left>
      <right style="dotted">
        <color theme="9" tint="-0.249977111117893"/>
      </right>
      <top style="dashed">
        <color theme="9" tint="-0.24994659260841701"/>
      </top>
      <bottom style="dotted">
        <color theme="9" tint="-0.249977111117893"/>
      </bottom>
      <diagonal/>
    </border>
    <border>
      <left style="dotted">
        <color theme="9" tint="-0.249977111117893"/>
      </left>
      <right/>
      <top/>
      <bottom style="dotted">
        <color theme="9" tint="-0.249977111117893"/>
      </bottom>
      <diagonal/>
    </border>
    <border>
      <left/>
      <right/>
      <top/>
      <bottom style="dotted">
        <color theme="9" tint="-0.249977111117893"/>
      </bottom>
      <diagonal/>
    </border>
    <border>
      <left/>
      <right style="dotted">
        <color theme="9" tint="-0.249977111117893"/>
      </right>
      <top/>
      <bottom style="dotted">
        <color theme="9" tint="-0.249977111117893"/>
      </bottom>
      <diagonal/>
    </border>
    <border>
      <left/>
      <right style="dashed">
        <color theme="9" tint="-0.24994659260841701"/>
      </right>
      <top style="dotted">
        <color theme="9" tint="-0.249977111117893"/>
      </top>
      <bottom/>
      <diagonal/>
    </border>
    <border>
      <left/>
      <right style="dashed">
        <color theme="9" tint="-0.24994659260841701"/>
      </right>
      <top style="dashed">
        <color theme="9" tint="-0.24994659260841701"/>
      </top>
      <bottom style="thin">
        <color rgb="FFFF9900"/>
      </bottom>
      <diagonal/>
    </border>
    <border>
      <left/>
      <right style="dashed">
        <color theme="9" tint="-0.24994659260841701"/>
      </right>
      <top style="dashed">
        <color theme="9" tint="-0.24994659260841701"/>
      </top>
      <bottom style="dotted">
        <color theme="9" tint="-0.249977111117893"/>
      </bottom>
      <diagonal/>
    </border>
    <border>
      <left style="dotted">
        <color theme="9" tint="-0.249977111117893"/>
      </left>
      <right style="dotted">
        <color theme="9" tint="-0.249977111117893"/>
      </right>
      <top style="dotted">
        <color theme="9" tint="-0.249977111117893"/>
      </top>
      <bottom/>
      <diagonal/>
    </border>
    <border>
      <left style="dotted">
        <color theme="9" tint="-0.249977111117893"/>
      </left>
      <right style="dotted">
        <color theme="9" tint="-0.249977111117893"/>
      </right>
      <top style="dashed">
        <color theme="9" tint="-0.24994659260841701"/>
      </top>
      <bottom/>
      <diagonal/>
    </border>
    <border>
      <left style="dotted">
        <color theme="9" tint="-0.249977111117893"/>
      </left>
      <right style="dotted">
        <color theme="9" tint="-0.249977111117893"/>
      </right>
      <top style="dashed">
        <color theme="9" tint="-0.24994659260841701"/>
      </top>
      <bottom style="thin">
        <color rgb="FFFF9900"/>
      </bottom>
      <diagonal/>
    </border>
    <border>
      <left style="dotted">
        <color theme="9" tint="-0.249977111117893"/>
      </left>
      <right style="dotted">
        <color theme="9" tint="-0.249977111117893"/>
      </right>
      <top style="thin">
        <color rgb="FFFF9900"/>
      </top>
      <bottom/>
      <diagonal/>
    </border>
    <border>
      <left style="dotted">
        <color theme="9" tint="-0.249977111117893"/>
      </left>
      <right style="dotted">
        <color theme="9" tint="-0.249977111117893"/>
      </right>
      <top style="dashed">
        <color theme="9" tint="-0.24994659260841701"/>
      </top>
      <bottom style="dotted">
        <color theme="9" tint="-0.249977111117893"/>
      </bottom>
      <diagonal/>
    </border>
    <border>
      <left style="dotted">
        <color theme="9" tint="-0.249977111117893"/>
      </left>
      <right style="dotted">
        <color theme="9" tint="-0.249977111117893"/>
      </right>
      <top/>
      <bottom style="dotted">
        <color theme="9" tint="-0.249977111117893"/>
      </bottom>
      <diagonal/>
    </border>
    <border>
      <left style="dashed">
        <color theme="9" tint="-0.24994659260841701"/>
      </left>
      <right/>
      <top style="dotted">
        <color theme="9" tint="-0.249977111117893"/>
      </top>
      <bottom/>
      <diagonal/>
    </border>
    <border>
      <left style="dotted">
        <color theme="9" tint="-0.249977111117893"/>
      </left>
      <right/>
      <top style="dotted">
        <color theme="9" tint="-0.249977111117893"/>
      </top>
      <bottom/>
      <diagonal/>
    </border>
    <border>
      <left/>
      <right style="dotted">
        <color theme="9" tint="-0.249977111117893"/>
      </right>
      <top style="dotted">
        <color theme="9" tint="-0.249977111117893"/>
      </top>
      <bottom/>
      <diagonal/>
    </border>
    <border>
      <left style="dotted">
        <color theme="9" tint="-0.249977111117893"/>
      </left>
      <right style="dotted">
        <color theme="9" tint="-0.249977111117893"/>
      </right>
      <top/>
      <bottom/>
      <diagonal/>
    </border>
    <border>
      <left style="dashed">
        <color theme="9" tint="-0.24994659260841701"/>
      </left>
      <right style="dotted">
        <color theme="9" tint="-0.249977111117893"/>
      </right>
      <top/>
      <bottom style="dotted">
        <color theme="9" tint="-0.249977111117893"/>
      </bottom>
      <diagonal/>
    </border>
    <border>
      <left style="dotted">
        <color theme="9" tint="-0.249977111117893"/>
      </left>
      <right style="dashed">
        <color theme="9" tint="-0.24994659260841701"/>
      </right>
      <top style="thin">
        <color rgb="FFFF9900"/>
      </top>
      <bottom/>
      <diagonal/>
    </border>
    <border>
      <left style="dashed">
        <color theme="9" tint="-0.249977111117893"/>
      </left>
      <right style="dotted">
        <color theme="9" tint="-0.249977111117893"/>
      </right>
      <top/>
      <bottom/>
      <diagonal/>
    </border>
    <border>
      <left style="dashed">
        <color theme="9" tint="-0.249977111117893"/>
      </left>
      <right style="dotted">
        <color theme="9" tint="-0.249977111117893"/>
      </right>
      <top/>
      <bottom style="dotted">
        <color theme="9" tint="-0.249977111117893"/>
      </bottom>
      <diagonal/>
    </border>
    <border>
      <left style="dashed">
        <color theme="9" tint="-0.24994659260841701"/>
      </left>
      <right/>
      <top style="thin">
        <color rgb="FFFF9900"/>
      </top>
      <bottom style="dashed">
        <color theme="9" tint="-0.24994659260841701"/>
      </bottom>
      <diagonal/>
    </border>
    <border>
      <left/>
      <right/>
      <top style="thin">
        <color rgb="FFFF9900"/>
      </top>
      <bottom style="dashed">
        <color theme="9" tint="-0.24994659260841701"/>
      </bottom>
      <diagonal/>
    </border>
    <border>
      <left/>
      <right style="dashed">
        <color theme="9" tint="-0.24994659260841701"/>
      </right>
      <top style="thin">
        <color rgb="FFFF9900"/>
      </top>
      <bottom style="dashed">
        <color theme="9" tint="-0.24994659260841701"/>
      </bottom>
      <diagonal/>
    </border>
  </borders>
  <cellStyleXfs count="5">
    <xf numFmtId="0" fontId="0" fillId="0" borderId="0"/>
    <xf numFmtId="9" fontId="14" fillId="0" borderId="0" applyFont="0" applyFill="0" applyBorder="0" applyAlignment="0" applyProtection="0"/>
    <xf numFmtId="0" fontId="46" fillId="0" borderId="0"/>
    <xf numFmtId="0" fontId="47" fillId="0" borderId="0"/>
    <xf numFmtId="0" fontId="5" fillId="0" borderId="0"/>
  </cellStyleXfs>
  <cellXfs count="870">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0" borderId="2" xfId="0" applyFont="1" applyBorder="1" applyAlignment="1">
      <alignment horizontal="center" vertic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11" xfId="0" applyFont="1" applyFill="1" applyBorder="1" applyAlignment="1">
      <alignment horizontal="center" vertical="center" wrapText="1" readingOrder="1"/>
    </xf>
    <xf numFmtId="0" fontId="10" fillId="0" borderId="11" xfId="0" applyFont="1" applyBorder="1" applyAlignment="1">
      <alignment horizontal="justify" vertical="center" wrapText="1" readingOrder="1"/>
    </xf>
    <xf numFmtId="9" fontId="10" fillId="0" borderId="11"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5" fillId="0" borderId="0" xfId="0" applyFont="1"/>
    <xf numFmtId="0" fontId="13" fillId="0" borderId="0" xfId="0" applyFont="1"/>
    <xf numFmtId="164" fontId="1" fillId="0" borderId="2" xfId="1" applyNumberFormat="1" applyFont="1" applyBorder="1" applyAlignment="1">
      <alignment horizontal="center" vertical="center"/>
    </xf>
    <xf numFmtId="0" fontId="4" fillId="0" borderId="0" xfId="0" applyFont="1" applyAlignment="1">
      <alignment horizontal="left" vertical="center"/>
    </xf>
    <xf numFmtId="0" fontId="4" fillId="3" borderId="0" xfId="0" applyFont="1" applyFill="1" applyAlignment="1">
      <alignment horizontal="center" vertical="center"/>
    </xf>
    <xf numFmtId="0" fontId="1" fillId="3" borderId="0" xfId="0" applyFont="1" applyFill="1" applyAlignment="1">
      <alignment vertical="center"/>
    </xf>
    <xf numFmtId="0" fontId="27" fillId="0" borderId="0" xfId="0" applyFont="1" applyAlignment="1">
      <alignment vertical="center"/>
    </xf>
    <xf numFmtId="0" fontId="28" fillId="0" borderId="0" xfId="0" applyFont="1"/>
    <xf numFmtId="0" fontId="26" fillId="0" borderId="0" xfId="0" applyFont="1"/>
    <xf numFmtId="0" fontId="0" fillId="0" borderId="0" xfId="0" pivotButton="1"/>
    <xf numFmtId="0" fontId="12" fillId="0" borderId="0" xfId="0" applyFont="1" applyAlignment="1">
      <alignment horizontal="justify" vertical="center" wrapText="1" readingOrder="1"/>
    </xf>
    <xf numFmtId="0" fontId="29" fillId="0" borderId="0" xfId="0" applyFont="1"/>
    <xf numFmtId="0" fontId="31" fillId="6" borderId="0" xfId="0" applyFont="1" applyFill="1" applyAlignment="1">
      <alignment horizontal="center" vertical="center" wrapText="1" readingOrder="1"/>
    </xf>
    <xf numFmtId="0" fontId="32" fillId="0" borderId="11" xfId="0" applyFont="1" applyBorder="1" applyAlignment="1">
      <alignment horizontal="justify" vertical="center" wrapText="1" readingOrder="1"/>
    </xf>
    <xf numFmtId="0" fontId="32" fillId="0" borderId="1" xfId="0" applyFont="1" applyBorder="1" applyAlignment="1">
      <alignment horizontal="justify" vertical="center" wrapText="1" readingOrder="1"/>
    </xf>
    <xf numFmtId="0" fontId="32" fillId="5" borderId="11" xfId="0" applyFont="1" applyFill="1" applyBorder="1" applyAlignment="1">
      <alignment horizontal="center" vertical="center" wrapText="1" readingOrder="1"/>
    </xf>
    <xf numFmtId="0" fontId="32" fillId="7" borderId="1" xfId="0" applyFont="1" applyFill="1" applyBorder="1" applyAlignment="1">
      <alignment horizontal="center" vertical="center" wrapText="1" readingOrder="1"/>
    </xf>
    <xf numFmtId="0" fontId="32" fillId="4" borderId="1" xfId="0" applyFont="1" applyFill="1" applyBorder="1" applyAlignment="1">
      <alignment horizontal="center" vertical="center" wrapText="1" readingOrder="1"/>
    </xf>
    <xf numFmtId="0" fontId="32" fillId="8" borderId="1" xfId="0" applyFont="1" applyFill="1" applyBorder="1" applyAlignment="1">
      <alignment horizontal="center" vertical="center" wrapText="1" readingOrder="1"/>
    </xf>
    <xf numFmtId="0" fontId="33" fillId="9" borderId="1" xfId="0" applyFont="1" applyFill="1" applyBorder="1" applyAlignment="1">
      <alignment horizontal="center" vertical="center" wrapText="1" readingOrder="1"/>
    </xf>
    <xf numFmtId="0" fontId="32" fillId="0" borderId="11" xfId="0" applyFont="1" applyBorder="1" applyAlignment="1">
      <alignment horizontal="center" vertical="center" wrapText="1" readingOrder="1"/>
    </xf>
    <xf numFmtId="0" fontId="32" fillId="0" borderId="1" xfId="0" applyFont="1" applyBorder="1" applyAlignment="1">
      <alignment horizontal="center" vertical="center" wrapText="1" readingOrder="1"/>
    </xf>
    <xf numFmtId="0" fontId="1" fillId="0" borderId="2" xfId="0" applyFont="1" applyBorder="1" applyAlignment="1" applyProtection="1">
      <alignment horizontal="center" vertical="center"/>
      <protection locked="0"/>
    </xf>
    <xf numFmtId="0" fontId="6" fillId="0" borderId="2" xfId="0" applyFont="1" applyBorder="1" applyAlignment="1" applyProtection="1">
      <alignment horizontal="justify" vertical="center" wrapText="1"/>
      <protection locked="0"/>
    </xf>
    <xf numFmtId="0" fontId="1" fillId="0" borderId="2" xfId="0" applyFont="1" applyBorder="1" applyAlignment="1" applyProtection="1">
      <alignment horizontal="center" vertical="center" textRotation="90"/>
      <protection locked="0"/>
    </xf>
    <xf numFmtId="9" fontId="1" fillId="0" borderId="2" xfId="0" applyNumberFormat="1" applyFont="1" applyBorder="1" applyAlignment="1" applyProtection="1">
      <alignment horizontal="center" vertical="center"/>
      <protection hidden="1"/>
    </xf>
    <xf numFmtId="0" fontId="4" fillId="0" borderId="2" xfId="0" applyFont="1" applyBorder="1" applyAlignment="1" applyProtection="1">
      <alignment horizontal="center" vertical="center" textRotation="90" wrapText="1"/>
      <protection hidden="1"/>
    </xf>
    <xf numFmtId="0" fontId="1" fillId="0" borderId="2" xfId="0" applyFont="1" applyBorder="1" applyAlignment="1" applyProtection="1">
      <alignment horizontal="center" vertical="center" wrapText="1"/>
      <protection locked="0"/>
    </xf>
    <xf numFmtId="14" fontId="1" fillId="0" borderId="2" xfId="0" applyNumberFormat="1" applyFont="1" applyBorder="1" applyAlignment="1" applyProtection="1">
      <alignment horizontal="center" vertical="center"/>
      <protection locked="0"/>
    </xf>
    <xf numFmtId="0" fontId="19" fillId="11" borderId="12" xfId="0" applyFont="1" applyFill="1" applyBorder="1" applyAlignment="1" applyProtection="1">
      <alignment horizontal="center" vertical="center" wrapText="1" readingOrder="1"/>
      <protection hidden="1"/>
    </xf>
    <xf numFmtId="0" fontId="19" fillId="11" borderId="19" xfId="0" applyFont="1" applyFill="1" applyBorder="1" applyAlignment="1" applyProtection="1">
      <alignment horizontal="center" vertical="center" wrapText="1" readingOrder="1"/>
      <protection hidden="1"/>
    </xf>
    <xf numFmtId="0" fontId="19" fillId="11" borderId="13" xfId="0" applyFont="1" applyFill="1" applyBorder="1" applyAlignment="1" applyProtection="1">
      <alignment horizontal="center" vertical="center" wrapText="1" readingOrder="1"/>
      <protection hidden="1"/>
    </xf>
    <xf numFmtId="0" fontId="19" fillId="12" borderId="12" xfId="0" applyFont="1" applyFill="1" applyBorder="1" applyAlignment="1" applyProtection="1">
      <alignment horizontal="center" wrapText="1" readingOrder="1"/>
      <protection hidden="1"/>
    </xf>
    <xf numFmtId="0" fontId="19" fillId="12" borderId="19" xfId="0" applyFont="1" applyFill="1" applyBorder="1" applyAlignment="1" applyProtection="1">
      <alignment horizontal="center" wrapText="1" readingOrder="1"/>
      <protection hidden="1"/>
    </xf>
    <xf numFmtId="0" fontId="19" fillId="12" borderId="13" xfId="0" applyFont="1" applyFill="1" applyBorder="1" applyAlignment="1" applyProtection="1">
      <alignment horizontal="center" wrapText="1" readingOrder="1"/>
      <protection hidden="1"/>
    </xf>
    <xf numFmtId="0" fontId="19" fillId="11" borderId="14" xfId="0" applyFont="1" applyFill="1" applyBorder="1" applyAlignment="1" applyProtection="1">
      <alignment horizontal="center" vertical="center" wrapText="1" readingOrder="1"/>
      <protection hidden="1"/>
    </xf>
    <xf numFmtId="0" fontId="19" fillId="11" borderId="0" xfId="0" applyFont="1" applyFill="1" applyAlignment="1" applyProtection="1">
      <alignment horizontal="center" vertical="center" wrapText="1" readingOrder="1"/>
      <protection hidden="1"/>
    </xf>
    <xf numFmtId="0" fontId="19" fillId="11" borderId="15" xfId="0" applyFont="1" applyFill="1" applyBorder="1" applyAlignment="1" applyProtection="1">
      <alignment horizontal="center" vertical="center" wrapText="1" readingOrder="1"/>
      <protection hidden="1"/>
    </xf>
    <xf numFmtId="0" fontId="19" fillId="12" borderId="14" xfId="0" applyFont="1" applyFill="1" applyBorder="1" applyAlignment="1" applyProtection="1">
      <alignment horizontal="center" wrapText="1" readingOrder="1"/>
      <protection hidden="1"/>
    </xf>
    <xf numFmtId="0" fontId="19" fillId="12" borderId="0" xfId="0" applyFont="1" applyFill="1" applyAlignment="1" applyProtection="1">
      <alignment horizontal="center" wrapText="1" readingOrder="1"/>
      <protection hidden="1"/>
    </xf>
    <xf numFmtId="0" fontId="19" fillId="12" borderId="15" xfId="0" applyFont="1" applyFill="1" applyBorder="1" applyAlignment="1" applyProtection="1">
      <alignment horizontal="center" wrapText="1" readingOrder="1"/>
      <protection hidden="1"/>
    </xf>
    <xf numFmtId="0" fontId="19" fillId="11" borderId="16" xfId="0" applyFont="1" applyFill="1" applyBorder="1" applyAlignment="1" applyProtection="1">
      <alignment horizontal="center" vertical="center" wrapText="1" readingOrder="1"/>
      <protection hidden="1"/>
    </xf>
    <xf numFmtId="0" fontId="19" fillId="11" borderId="18" xfId="0" applyFont="1" applyFill="1" applyBorder="1" applyAlignment="1" applyProtection="1">
      <alignment horizontal="center" vertical="center" wrapText="1" readingOrder="1"/>
      <protection hidden="1"/>
    </xf>
    <xf numFmtId="0" fontId="19" fillId="11" borderId="17" xfId="0" applyFont="1" applyFill="1" applyBorder="1" applyAlignment="1" applyProtection="1">
      <alignment horizontal="center" vertical="center" wrapText="1" readingOrder="1"/>
      <protection hidden="1"/>
    </xf>
    <xf numFmtId="0" fontId="19" fillId="12" borderId="16" xfId="0" applyFont="1" applyFill="1" applyBorder="1" applyAlignment="1" applyProtection="1">
      <alignment horizontal="center" wrapText="1" readingOrder="1"/>
      <protection hidden="1"/>
    </xf>
    <xf numFmtId="0" fontId="19" fillId="12" borderId="18" xfId="0" applyFont="1" applyFill="1" applyBorder="1" applyAlignment="1" applyProtection="1">
      <alignment horizontal="center" wrapText="1" readingOrder="1"/>
      <protection hidden="1"/>
    </xf>
    <xf numFmtId="0" fontId="19" fillId="12" borderId="17" xfId="0" applyFont="1" applyFill="1" applyBorder="1" applyAlignment="1" applyProtection="1">
      <alignment horizontal="center" wrapText="1" readingOrder="1"/>
      <protection hidden="1"/>
    </xf>
    <xf numFmtId="0" fontId="19" fillId="13" borderId="12" xfId="0" applyFont="1" applyFill="1" applyBorder="1" applyAlignment="1" applyProtection="1">
      <alignment horizontal="center" wrapText="1" readingOrder="1"/>
      <protection hidden="1"/>
    </xf>
    <xf numFmtId="0" fontId="19" fillId="13" borderId="19" xfId="0" applyFont="1" applyFill="1" applyBorder="1" applyAlignment="1" applyProtection="1">
      <alignment horizontal="center" wrapText="1" readingOrder="1"/>
      <protection hidden="1"/>
    </xf>
    <xf numFmtId="0" fontId="19" fillId="13" borderId="13" xfId="0" applyFont="1" applyFill="1" applyBorder="1" applyAlignment="1" applyProtection="1">
      <alignment horizontal="center" wrapText="1" readingOrder="1"/>
      <protection hidden="1"/>
    </xf>
    <xf numFmtId="0" fontId="19" fillId="13" borderId="14" xfId="0" applyFont="1" applyFill="1" applyBorder="1" applyAlignment="1" applyProtection="1">
      <alignment horizontal="center" wrapText="1" readingOrder="1"/>
      <protection hidden="1"/>
    </xf>
    <xf numFmtId="0" fontId="19" fillId="13" borderId="0" xfId="0" applyFont="1" applyFill="1" applyAlignment="1" applyProtection="1">
      <alignment horizontal="center" wrapText="1" readingOrder="1"/>
      <protection hidden="1"/>
    </xf>
    <xf numFmtId="0" fontId="19" fillId="13" borderId="15" xfId="0" applyFont="1" applyFill="1" applyBorder="1" applyAlignment="1" applyProtection="1">
      <alignment horizontal="center" wrapText="1" readingOrder="1"/>
      <protection hidden="1"/>
    </xf>
    <xf numFmtId="0" fontId="19" fillId="13" borderId="16" xfId="0" applyFont="1" applyFill="1" applyBorder="1" applyAlignment="1" applyProtection="1">
      <alignment horizontal="center" wrapText="1" readingOrder="1"/>
      <protection hidden="1"/>
    </xf>
    <xf numFmtId="0" fontId="19" fillId="13" borderId="18" xfId="0" applyFont="1" applyFill="1" applyBorder="1" applyAlignment="1" applyProtection="1">
      <alignment horizontal="center" wrapText="1" readingOrder="1"/>
      <protection hidden="1"/>
    </xf>
    <xf numFmtId="0" fontId="19" fillId="13" borderId="17" xfId="0" applyFont="1" applyFill="1" applyBorder="1" applyAlignment="1" applyProtection="1">
      <alignment horizontal="center" wrapText="1" readingOrder="1"/>
      <protection hidden="1"/>
    </xf>
    <xf numFmtId="0" fontId="19" fillId="5" borderId="12" xfId="0" applyFont="1" applyFill="1" applyBorder="1" applyAlignment="1" applyProtection="1">
      <alignment horizontal="center" wrapText="1" readingOrder="1"/>
      <protection hidden="1"/>
    </xf>
    <xf numFmtId="0" fontId="19" fillId="5" borderId="19" xfId="0" applyFont="1" applyFill="1" applyBorder="1" applyAlignment="1" applyProtection="1">
      <alignment horizontal="center" wrapText="1" readingOrder="1"/>
      <protection hidden="1"/>
    </xf>
    <xf numFmtId="0" fontId="19" fillId="5" borderId="13" xfId="0" applyFont="1" applyFill="1" applyBorder="1" applyAlignment="1" applyProtection="1">
      <alignment horizontal="center" wrapText="1" readingOrder="1"/>
      <protection hidden="1"/>
    </xf>
    <xf numFmtId="0" fontId="19" fillId="5" borderId="14" xfId="0" applyFont="1" applyFill="1" applyBorder="1" applyAlignment="1" applyProtection="1">
      <alignment horizontal="center" wrapText="1" readingOrder="1"/>
      <protection hidden="1"/>
    </xf>
    <xf numFmtId="0" fontId="19" fillId="5" borderId="0" xfId="0" applyFont="1" applyFill="1" applyAlignment="1" applyProtection="1">
      <alignment horizontal="center" wrapText="1" readingOrder="1"/>
      <protection hidden="1"/>
    </xf>
    <xf numFmtId="0" fontId="19" fillId="5" borderId="15" xfId="0" applyFont="1" applyFill="1" applyBorder="1" applyAlignment="1" applyProtection="1">
      <alignment horizontal="center" wrapText="1" readingOrder="1"/>
      <protection hidden="1"/>
    </xf>
    <xf numFmtId="0" fontId="19" fillId="5" borderId="16" xfId="0" applyFont="1" applyFill="1" applyBorder="1" applyAlignment="1" applyProtection="1">
      <alignment horizontal="center" wrapText="1" readingOrder="1"/>
      <protection hidden="1"/>
    </xf>
    <xf numFmtId="0" fontId="19" fillId="5" borderId="18" xfId="0" applyFont="1" applyFill="1" applyBorder="1" applyAlignment="1" applyProtection="1">
      <alignment horizontal="center" wrapText="1" readingOrder="1"/>
      <protection hidden="1"/>
    </xf>
    <xf numFmtId="0" fontId="19" fillId="5" borderId="17" xfId="0" applyFont="1" applyFill="1" applyBorder="1" applyAlignment="1" applyProtection="1">
      <alignment horizontal="center" wrapText="1" readingOrder="1"/>
      <protection hidden="1"/>
    </xf>
    <xf numFmtId="0" fontId="23" fillId="13" borderId="19" xfId="0" applyFont="1" applyFill="1" applyBorder="1" applyAlignment="1" applyProtection="1">
      <alignment horizontal="center" wrapText="1" readingOrder="1"/>
      <protection hidden="1"/>
    </xf>
    <xf numFmtId="0" fontId="0" fillId="3" borderId="0" xfId="0" applyFill="1"/>
    <xf numFmtId="0" fontId="48" fillId="3" borderId="50" xfId="2" applyFont="1" applyFill="1" applyBorder="1"/>
    <xf numFmtId="0" fontId="48" fillId="3" borderId="51" xfId="2" applyFont="1" applyFill="1" applyBorder="1"/>
    <xf numFmtId="0" fontId="48" fillId="3" borderId="52" xfId="2" applyFont="1" applyFill="1" applyBorder="1"/>
    <xf numFmtId="0" fontId="16" fillId="3" borderId="0" xfId="0" applyFont="1" applyFill="1" applyAlignment="1">
      <alignment vertical="center"/>
    </xf>
    <xf numFmtId="0" fontId="5" fillId="3" borderId="0" xfId="0" applyFont="1" applyFill="1"/>
    <xf numFmtId="0" fontId="35" fillId="3" borderId="0" xfId="0" applyFont="1" applyFill="1"/>
    <xf numFmtId="0" fontId="37" fillId="3" borderId="33" xfId="0" applyFont="1" applyFill="1" applyBorder="1" applyAlignment="1">
      <alignment horizontal="justify" vertical="center" wrapText="1" readingOrder="1"/>
    </xf>
    <xf numFmtId="9" fontId="36" fillId="3" borderId="42" xfId="0" applyNumberFormat="1" applyFont="1" applyFill="1" applyBorder="1" applyAlignment="1">
      <alignment horizontal="center" vertical="center" wrapText="1" readingOrder="1"/>
    </xf>
    <xf numFmtId="0" fontId="37" fillId="3" borderId="32" xfId="0" applyFont="1" applyFill="1" applyBorder="1" applyAlignment="1">
      <alignment horizontal="justify" vertical="center" wrapText="1" readingOrder="1"/>
    </xf>
    <xf numFmtId="9" fontId="36" fillId="3" borderId="37" xfId="0" applyNumberFormat="1" applyFont="1" applyFill="1" applyBorder="1" applyAlignment="1">
      <alignment horizontal="center" vertical="center" wrapText="1" readingOrder="1"/>
    </xf>
    <xf numFmtId="0" fontId="37" fillId="3" borderId="37" xfId="0" applyFont="1" applyFill="1" applyBorder="1" applyAlignment="1">
      <alignment horizontal="center" vertical="center" wrapText="1" readingOrder="1"/>
    </xf>
    <xf numFmtId="0" fontId="37" fillId="3" borderId="39" xfId="0" applyFont="1" applyFill="1" applyBorder="1" applyAlignment="1">
      <alignment horizontal="justify" vertical="center" wrapText="1" readingOrder="1"/>
    </xf>
    <xf numFmtId="0" fontId="37" fillId="3" borderId="40" xfId="0" applyFont="1" applyFill="1" applyBorder="1" applyAlignment="1">
      <alignment horizontal="center" vertical="center" wrapText="1" readingOrder="1"/>
    </xf>
    <xf numFmtId="0" fontId="45" fillId="3" borderId="0" xfId="0" applyFont="1" applyFill="1"/>
    <xf numFmtId="0" fontId="36" fillId="15" borderId="45" xfId="0" applyFont="1" applyFill="1" applyBorder="1" applyAlignment="1">
      <alignment horizontal="center" vertical="center" wrapText="1" readingOrder="1"/>
    </xf>
    <xf numFmtId="0" fontId="13" fillId="3" borderId="0" xfId="0" applyFont="1" applyFill="1"/>
    <xf numFmtId="0" fontId="30" fillId="3" borderId="0" xfId="0" applyFont="1" applyFill="1" applyAlignment="1">
      <alignment horizontal="center" vertical="center" wrapText="1"/>
    </xf>
    <xf numFmtId="0" fontId="12" fillId="3" borderId="0" xfId="0" applyFont="1" applyFill="1" applyAlignment="1">
      <alignment horizontal="justify" vertical="center" wrapText="1" readingOrder="1"/>
    </xf>
    <xf numFmtId="0" fontId="4" fillId="3" borderId="0" xfId="0" applyFont="1" applyFill="1" applyAlignment="1">
      <alignment vertical="center"/>
    </xf>
    <xf numFmtId="0" fontId="15" fillId="3" borderId="0" xfId="0" applyFont="1" applyFill="1"/>
    <xf numFmtId="0" fontId="4" fillId="3" borderId="0" xfId="0" applyFont="1" applyFill="1" applyAlignment="1">
      <alignment horizontal="left" vertical="center"/>
    </xf>
    <xf numFmtId="0" fontId="48" fillId="3" borderId="14" xfId="2" applyFont="1" applyFill="1" applyBorder="1"/>
    <xf numFmtId="0" fontId="53" fillId="3" borderId="0" xfId="0" applyFont="1" applyFill="1" applyAlignment="1">
      <alignment horizontal="left" vertical="center" wrapText="1"/>
    </xf>
    <xf numFmtId="0" fontId="54" fillId="3" borderId="0" xfId="0" applyFont="1" applyFill="1" applyAlignment="1">
      <alignment horizontal="left" vertical="top" wrapText="1"/>
    </xf>
    <xf numFmtId="0" fontId="48" fillId="3" borderId="0" xfId="2" applyFont="1" applyFill="1"/>
    <xf numFmtId="0" fontId="48" fillId="3" borderId="15" xfId="2" applyFont="1" applyFill="1" applyBorder="1"/>
    <xf numFmtId="0" fontId="48" fillId="3" borderId="16" xfId="2" applyFont="1" applyFill="1" applyBorder="1"/>
    <xf numFmtId="0" fontId="48" fillId="3" borderId="18" xfId="2" applyFont="1" applyFill="1" applyBorder="1"/>
    <xf numFmtId="0" fontId="48" fillId="3" borderId="17" xfId="2" applyFont="1" applyFill="1" applyBorder="1"/>
    <xf numFmtId="0" fontId="52" fillId="3" borderId="0" xfId="2" applyFont="1" applyFill="1" applyAlignment="1">
      <alignment horizontal="left" vertical="center" wrapText="1"/>
    </xf>
    <xf numFmtId="0" fontId="48" fillId="3" borderId="0" xfId="2" applyFont="1" applyFill="1" applyAlignment="1">
      <alignment horizontal="left" vertical="center" wrapText="1"/>
    </xf>
    <xf numFmtId="0" fontId="48" fillId="3" borderId="0" xfId="2" quotePrefix="1" applyFont="1" applyFill="1" applyAlignment="1">
      <alignment horizontal="left" vertical="center" wrapText="1"/>
    </xf>
    <xf numFmtId="0" fontId="50" fillId="3" borderId="14" xfId="2" quotePrefix="1" applyFont="1" applyFill="1" applyBorder="1" applyAlignment="1">
      <alignment horizontal="left" vertical="top" wrapText="1"/>
    </xf>
    <xf numFmtId="0" fontId="51" fillId="3" borderId="0" xfId="2" quotePrefix="1" applyFont="1" applyFill="1" applyAlignment="1">
      <alignment horizontal="left" vertical="top" wrapText="1"/>
    </xf>
    <xf numFmtId="0" fontId="51" fillId="3" borderId="15" xfId="2" quotePrefix="1" applyFont="1" applyFill="1" applyBorder="1" applyAlignment="1">
      <alignment horizontal="left" vertical="top" wrapText="1"/>
    </xf>
    <xf numFmtId="0" fontId="58" fillId="2" borderId="2" xfId="0" applyFont="1" applyFill="1" applyBorder="1" applyAlignment="1">
      <alignment horizontal="center" vertical="center" textRotation="90"/>
    </xf>
    <xf numFmtId="164" fontId="59" fillId="0" borderId="4" xfId="0" applyNumberFormat="1" applyFont="1" applyBorder="1" applyAlignment="1" applyProtection="1">
      <alignment horizontal="center" vertical="center"/>
      <protection hidden="1"/>
    </xf>
    <xf numFmtId="0" fontId="59" fillId="0" borderId="2" xfId="0" applyFont="1" applyBorder="1" applyAlignment="1">
      <alignment horizontal="center" vertical="center"/>
    </xf>
    <xf numFmtId="0" fontId="58" fillId="16" borderId="2" xfId="0" applyFont="1" applyFill="1" applyBorder="1" applyAlignment="1">
      <alignment horizontal="center" vertical="center" textRotation="90" wrapText="1"/>
    </xf>
    <xf numFmtId="0" fontId="58" fillId="17" borderId="2" xfId="0" applyFont="1" applyFill="1" applyBorder="1" applyAlignment="1">
      <alignment horizontal="center" vertical="center" textRotation="90" wrapText="1"/>
    </xf>
    <xf numFmtId="0" fontId="58" fillId="18" borderId="2" xfId="0" applyFont="1" applyFill="1" applyBorder="1" applyAlignment="1">
      <alignment horizontal="center" vertical="center" textRotation="90" wrapText="1"/>
    </xf>
    <xf numFmtId="0" fontId="58" fillId="19" borderId="2" xfId="0" applyFont="1" applyFill="1" applyBorder="1" applyAlignment="1">
      <alignment horizontal="center" vertical="center" textRotation="90" wrapText="1"/>
    </xf>
    <xf numFmtId="0" fontId="58" fillId="20" borderId="2" xfId="0" applyFont="1" applyFill="1" applyBorder="1" applyAlignment="1">
      <alignment horizontal="center" vertical="center" textRotation="90" wrapText="1"/>
    </xf>
    <xf numFmtId="0" fontId="59" fillId="0" borderId="4" xfId="0" applyFont="1" applyBorder="1" applyAlignment="1" applyProtection="1">
      <alignment vertical="center" wrapText="1"/>
      <protection locked="0"/>
    </xf>
    <xf numFmtId="0" fontId="68" fillId="0" borderId="0" xfId="0" applyFont="1"/>
    <xf numFmtId="0" fontId="36" fillId="21" borderId="1" xfId="0" applyFont="1" applyFill="1" applyBorder="1" applyAlignment="1">
      <alignment horizontal="center" vertical="center" wrapText="1"/>
    </xf>
    <xf numFmtId="0" fontId="37" fillId="0" borderId="105" xfId="0" applyFont="1" applyBorder="1" applyAlignment="1">
      <alignment horizontal="justify" vertical="center" wrapText="1"/>
    </xf>
    <xf numFmtId="0" fontId="36" fillId="21" borderId="11" xfId="0" applyFont="1" applyFill="1" applyBorder="1" applyAlignment="1">
      <alignment horizontal="center" vertical="center" wrapText="1"/>
    </xf>
    <xf numFmtId="0" fontId="37" fillId="0" borderId="106" xfId="0" applyFont="1" applyBorder="1" applyAlignment="1">
      <alignment horizontal="justify" vertical="center" wrapText="1"/>
    </xf>
    <xf numFmtId="0" fontId="6" fillId="0" borderId="0" xfId="0" applyFont="1"/>
    <xf numFmtId="0" fontId="59" fillId="0" borderId="5" xfId="0" applyFont="1" applyBorder="1" applyAlignment="1">
      <alignment vertical="center" wrapText="1"/>
    </xf>
    <xf numFmtId="14" fontId="2" fillId="0" borderId="2" xfId="0" applyNumberFormat="1" applyFont="1" applyBorder="1" applyAlignment="1" applyProtection="1">
      <alignment horizontal="center" vertical="center" wrapText="1"/>
      <protection locked="0"/>
    </xf>
    <xf numFmtId="14" fontId="1" fillId="0" borderId="2" xfId="0" applyNumberFormat="1" applyFont="1" applyBorder="1" applyAlignment="1" applyProtection="1">
      <alignment horizontal="center" vertical="center" wrapText="1"/>
      <protection locked="0"/>
    </xf>
    <xf numFmtId="14" fontId="59" fillId="0" borderId="2" xfId="0" applyNumberFormat="1" applyFont="1" applyBorder="1" applyAlignment="1" applyProtection="1">
      <alignment horizontal="center" vertical="center" wrapText="1"/>
      <protection hidden="1"/>
    </xf>
    <xf numFmtId="0" fontId="59" fillId="0" borderId="5" xfId="0" applyFont="1" applyBorder="1" applyAlignment="1" applyProtection="1">
      <alignment vertical="center"/>
      <protection locked="0"/>
    </xf>
    <xf numFmtId="17" fontId="59" fillId="0" borderId="4" xfId="0" applyNumberFormat="1" applyFont="1" applyBorder="1" applyAlignment="1">
      <alignment vertical="center" wrapText="1"/>
    </xf>
    <xf numFmtId="14" fontId="59" fillId="0" borderId="2" xfId="0" applyNumberFormat="1" applyFont="1" applyBorder="1" applyAlignment="1" applyProtection="1">
      <alignment horizontal="center" vertical="center" wrapText="1"/>
      <protection locked="0"/>
    </xf>
    <xf numFmtId="14" fontId="59" fillId="0" borderId="2" xfId="0" applyNumberFormat="1" applyFont="1" applyBorder="1" applyAlignment="1" applyProtection="1">
      <alignment horizontal="center" vertical="center"/>
      <protection locked="0"/>
    </xf>
    <xf numFmtId="0" fontId="59" fillId="0" borderId="2" xfId="0" applyFont="1" applyBorder="1" applyAlignment="1" applyProtection="1">
      <alignment horizontal="center" vertical="center" wrapText="1"/>
      <protection locked="0"/>
    </xf>
    <xf numFmtId="9" fontId="59" fillId="0" borderId="8" xfId="0" applyNumberFormat="1" applyFont="1" applyBorder="1" applyAlignment="1" applyProtection="1">
      <alignment vertical="center" wrapText="1"/>
      <protection locked="0"/>
    </xf>
    <xf numFmtId="9" fontId="59" fillId="0" borderId="8" xfId="0" applyNumberFormat="1" applyFont="1" applyBorder="1" applyAlignment="1" applyProtection="1">
      <alignment vertical="center" wrapText="1"/>
      <protection hidden="1"/>
    </xf>
    <xf numFmtId="0" fontId="58" fillId="0" borderId="4" xfId="0" applyFont="1" applyBorder="1" applyAlignment="1" applyProtection="1">
      <alignment vertical="center" wrapText="1"/>
      <protection hidden="1"/>
    </xf>
    <xf numFmtId="9" fontId="59" fillId="0" borderId="4" xfId="0" applyNumberFormat="1" applyFont="1" applyBorder="1" applyAlignment="1" applyProtection="1">
      <alignment vertical="center" wrapText="1"/>
      <protection hidden="1"/>
    </xf>
    <xf numFmtId="0" fontId="58" fillId="0" borderId="4" xfId="0" applyFont="1" applyBorder="1" applyAlignment="1" applyProtection="1">
      <alignment vertical="center"/>
      <protection hidden="1"/>
    </xf>
    <xf numFmtId="0" fontId="59" fillId="0" borderId="8" xfId="0" applyFont="1" applyBorder="1" applyAlignment="1">
      <alignment vertical="center" wrapText="1"/>
    </xf>
    <xf numFmtId="0" fontId="59" fillId="0" borderId="29" xfId="0" applyFont="1" applyBorder="1" applyAlignment="1">
      <alignment horizontal="center" vertical="center" wrapText="1"/>
    </xf>
    <xf numFmtId="0" fontId="58" fillId="0" borderId="2" xfId="0" applyFont="1" applyBorder="1" applyAlignment="1">
      <alignment horizontal="center" vertical="center"/>
    </xf>
    <xf numFmtId="0" fontId="59" fillId="0" borderId="2" xfId="0" applyFont="1" applyBorder="1" applyAlignment="1">
      <alignment horizontal="center" vertical="center" wrapText="1"/>
    </xf>
    <xf numFmtId="14" fontId="59" fillId="0" borderId="4" xfId="0" applyNumberFormat="1" applyFont="1" applyBorder="1" applyAlignment="1">
      <alignment horizontal="center" vertical="center" wrapText="1"/>
    </xf>
    <xf numFmtId="0" fontId="4" fillId="0" borderId="2" xfId="0" applyFont="1" applyBorder="1" applyAlignment="1">
      <alignment horizontal="center" vertical="center"/>
    </xf>
    <xf numFmtId="0" fontId="1" fillId="0" borderId="5" xfId="0" applyFont="1" applyBorder="1" applyAlignment="1">
      <alignment horizontal="center" vertical="center"/>
    </xf>
    <xf numFmtId="0" fontId="59" fillId="0" borderId="115" xfId="0" applyFont="1" applyBorder="1" applyAlignment="1">
      <alignment horizontal="center" vertical="center" wrapText="1"/>
    </xf>
    <xf numFmtId="0" fontId="59" fillId="0" borderId="116" xfId="0" applyFont="1" applyBorder="1" applyAlignment="1">
      <alignment horizontal="center" vertical="center" wrapText="1"/>
    </xf>
    <xf numFmtId="0" fontId="59" fillId="0" borderId="117" xfId="0" applyFont="1" applyBorder="1" applyAlignment="1">
      <alignment horizontal="center" vertical="center" wrapText="1"/>
    </xf>
    <xf numFmtId="0" fontId="74" fillId="0" borderId="2" xfId="0" applyFont="1" applyBorder="1" applyAlignment="1" applyProtection="1">
      <alignment horizontal="center" vertical="center" wrapText="1"/>
      <protection locked="0"/>
    </xf>
    <xf numFmtId="0" fontId="74" fillId="0" borderId="2" xfId="0" applyFont="1" applyBorder="1" applyAlignment="1" applyProtection="1">
      <alignment horizontal="center" vertical="center"/>
      <protection locked="0"/>
    </xf>
    <xf numFmtId="0" fontId="74" fillId="3" borderId="0" xfId="0" applyFont="1" applyFill="1"/>
    <xf numFmtId="0" fontId="74" fillId="0" borderId="0" xfId="0" applyFont="1"/>
    <xf numFmtId="9" fontId="74" fillId="0" borderId="8" xfId="0" applyNumberFormat="1" applyFont="1" applyBorder="1" applyAlignment="1" applyProtection="1">
      <alignment horizontal="center" vertical="center" wrapText="1"/>
      <protection hidden="1"/>
    </xf>
    <xf numFmtId="0" fontId="59" fillId="0" borderId="2" xfId="0" applyFont="1" applyBorder="1" applyAlignment="1" applyProtection="1">
      <alignment horizontal="justify" vertical="center" wrapText="1"/>
      <protection locked="0"/>
    </xf>
    <xf numFmtId="0" fontId="59" fillId="0" borderId="0" xfId="0" applyFont="1" applyAlignment="1">
      <alignment vertical="center" wrapText="1"/>
    </xf>
    <xf numFmtId="9" fontId="1" fillId="3" borderId="4" xfId="0" applyNumberFormat="1" applyFont="1" applyFill="1" applyBorder="1" applyAlignment="1" applyProtection="1">
      <alignment horizontal="center" vertical="center"/>
      <protection hidden="1"/>
    </xf>
    <xf numFmtId="0" fontId="79" fillId="0" borderId="2" xfId="0" applyFont="1" applyBorder="1" applyAlignment="1">
      <alignment horizontal="center" vertical="center"/>
    </xf>
    <xf numFmtId="0" fontId="79" fillId="0" borderId="2" xfId="0" applyFont="1" applyBorder="1" applyAlignment="1" applyProtection="1">
      <alignment horizontal="center" vertical="center"/>
      <protection hidden="1"/>
    </xf>
    <xf numFmtId="0" fontId="79" fillId="0" borderId="2" xfId="0" applyFont="1" applyBorder="1" applyAlignment="1" applyProtection="1">
      <alignment horizontal="center" vertical="center" textRotation="90"/>
      <protection locked="0"/>
    </xf>
    <xf numFmtId="9" fontId="79" fillId="0" borderId="2" xfId="0" applyNumberFormat="1" applyFont="1" applyBorder="1" applyAlignment="1" applyProtection="1">
      <alignment horizontal="center" vertical="center"/>
      <protection hidden="1"/>
    </xf>
    <xf numFmtId="164" fontId="79" fillId="0" borderId="2" xfId="1" applyNumberFormat="1" applyFont="1" applyBorder="1" applyAlignment="1">
      <alignment horizontal="center" vertical="center"/>
    </xf>
    <xf numFmtId="0" fontId="80" fillId="0" borderId="2" xfId="0" applyFont="1" applyBorder="1" applyAlignment="1" applyProtection="1">
      <alignment horizontal="center" vertical="center" textRotation="90" wrapText="1"/>
      <protection hidden="1"/>
    </xf>
    <xf numFmtId="9" fontId="79" fillId="0" borderId="4" xfId="0" applyNumberFormat="1" applyFont="1" applyBorder="1" applyAlignment="1" applyProtection="1">
      <alignment horizontal="center" vertical="center"/>
      <protection hidden="1"/>
    </xf>
    <xf numFmtId="0" fontId="80" fillId="0" borderId="2" xfId="0" applyFont="1" applyBorder="1" applyAlignment="1" applyProtection="1">
      <alignment horizontal="center" vertical="center" textRotation="90"/>
      <protection hidden="1"/>
    </xf>
    <xf numFmtId="0" fontId="79" fillId="0" borderId="2" xfId="0" applyFont="1" applyBorder="1" applyAlignment="1" applyProtection="1">
      <alignment horizontal="center" vertical="center" wrapText="1"/>
      <protection locked="0"/>
    </xf>
    <xf numFmtId="0" fontId="79" fillId="0" borderId="0" xfId="0" applyFont="1" applyAlignment="1">
      <alignment horizontal="center" vertical="center" wrapText="1"/>
    </xf>
    <xf numFmtId="14" fontId="79" fillId="0" borderId="2" xfId="0" applyNumberFormat="1" applyFont="1" applyBorder="1" applyAlignment="1" applyProtection="1">
      <alignment horizontal="center" vertical="center"/>
      <protection locked="0"/>
    </xf>
    <xf numFmtId="0" fontId="79" fillId="0" borderId="2" xfId="0" applyFont="1" applyBorder="1" applyAlignment="1" applyProtection="1">
      <alignment horizontal="center" vertical="center"/>
      <protection locked="0"/>
    </xf>
    <xf numFmtId="9" fontId="79" fillId="0" borderId="2" xfId="1" applyFont="1" applyBorder="1" applyAlignment="1">
      <alignment horizontal="center" vertical="center"/>
    </xf>
    <xf numFmtId="0" fontId="74" fillId="0" borderId="4" xfId="0" applyFont="1" applyBorder="1" applyAlignment="1" applyProtection="1">
      <alignment horizontal="center" vertical="center"/>
      <protection locked="0"/>
    </xf>
    <xf numFmtId="0" fontId="1" fillId="0" borderId="2" xfId="0" applyFont="1" applyBorder="1" applyAlignment="1" applyProtection="1">
      <alignment horizontal="center" vertical="center"/>
      <protection hidden="1"/>
    </xf>
    <xf numFmtId="9" fontId="1" fillId="0" borderId="4" xfId="0" applyNumberFormat="1" applyFont="1" applyBorder="1" applyAlignment="1" applyProtection="1">
      <alignment horizontal="center" vertical="center"/>
      <protection hidden="1"/>
    </xf>
    <xf numFmtId="0" fontId="1" fillId="0" borderId="4" xfId="0" applyFont="1" applyBorder="1" applyAlignment="1" applyProtection="1">
      <alignment horizontal="center" vertical="center" textRotation="90"/>
      <protection locked="0"/>
    </xf>
    <xf numFmtId="0" fontId="59" fillId="0" borderId="4" xfId="0" applyFont="1" applyBorder="1" applyAlignment="1">
      <alignment vertical="center" wrapText="1"/>
    </xf>
    <xf numFmtId="14" fontId="59" fillId="0" borderId="4" xfId="0" applyNumberFormat="1" applyFont="1" applyBorder="1" applyAlignment="1">
      <alignment vertical="center" wrapText="1"/>
    </xf>
    <xf numFmtId="17" fontId="59" fillId="0" borderId="4" xfId="0" applyNumberFormat="1" applyFont="1" applyBorder="1" applyAlignment="1">
      <alignment horizontal="center" vertical="center" wrapText="1"/>
    </xf>
    <xf numFmtId="0" fontId="59" fillId="0" borderId="8" xfId="0" applyFont="1" applyBorder="1" applyAlignment="1" applyProtection="1">
      <alignment vertical="center"/>
      <protection locked="0"/>
    </xf>
    <xf numFmtId="0" fontId="1" fillId="0" borderId="4" xfId="0" applyFont="1" applyBorder="1" applyAlignment="1" applyProtection="1">
      <alignment horizontal="center" vertical="center"/>
      <protection hidden="1"/>
    </xf>
    <xf numFmtId="164" fontId="1" fillId="3" borderId="4" xfId="1" applyNumberFormat="1" applyFont="1" applyFill="1" applyBorder="1" applyAlignment="1">
      <alignment horizontal="center" vertical="center"/>
    </xf>
    <xf numFmtId="0" fontId="4" fillId="3" borderId="4" xfId="0" applyFont="1" applyFill="1" applyBorder="1" applyAlignment="1" applyProtection="1">
      <alignment horizontal="center" vertical="center" textRotation="90" wrapText="1"/>
      <protection hidden="1"/>
    </xf>
    <xf numFmtId="0" fontId="4" fillId="3" borderId="4" xfId="0" applyFont="1" applyFill="1" applyBorder="1" applyAlignment="1" applyProtection="1">
      <alignment horizontal="center" vertical="center" textRotation="90"/>
      <protection hidden="1"/>
    </xf>
    <xf numFmtId="14" fontId="1" fillId="0" borderId="4" xfId="0" applyNumberFormat="1" applyFont="1" applyBorder="1" applyAlignment="1" applyProtection="1">
      <alignment horizontal="center" vertical="center"/>
      <protection locked="0"/>
    </xf>
    <xf numFmtId="0" fontId="59" fillId="0" borderId="5" xfId="0" applyFont="1" applyBorder="1" applyAlignment="1">
      <alignment horizontal="center" vertical="center"/>
    </xf>
    <xf numFmtId="0" fontId="59" fillId="0" borderId="5" xfId="0" applyFont="1" applyBorder="1" applyAlignment="1">
      <alignment horizontal="justify" vertical="center" wrapText="1"/>
    </xf>
    <xf numFmtId="0" fontId="59" fillId="0" borderId="5" xfId="0" applyFont="1" applyBorder="1" applyAlignment="1" applyProtection="1">
      <alignment horizontal="center" vertical="center"/>
      <protection hidden="1"/>
    </xf>
    <xf numFmtId="0" fontId="59" fillId="0" borderId="5" xfId="0" applyFont="1" applyBorder="1" applyAlignment="1" applyProtection="1">
      <alignment horizontal="center" vertical="center" textRotation="90"/>
      <protection locked="0"/>
    </xf>
    <xf numFmtId="9" fontId="59" fillId="0" borderId="5" xfId="0" applyNumberFormat="1" applyFont="1" applyBorder="1" applyAlignment="1" applyProtection="1">
      <alignment horizontal="center" vertical="center"/>
      <protection hidden="1"/>
    </xf>
    <xf numFmtId="164" fontId="59" fillId="0" borderId="5" xfId="1" applyNumberFormat="1" applyFont="1" applyBorder="1" applyAlignment="1">
      <alignment horizontal="center" vertical="center"/>
    </xf>
    <xf numFmtId="0" fontId="58" fillId="0" borderId="5" xfId="0" applyFont="1" applyBorder="1" applyAlignment="1" applyProtection="1">
      <alignment horizontal="center" vertical="center" textRotation="90" wrapText="1"/>
      <protection hidden="1"/>
    </xf>
    <xf numFmtId="9" fontId="59" fillId="0" borderId="8" xfId="0" applyNumberFormat="1" applyFont="1" applyBorder="1" applyAlignment="1" applyProtection="1">
      <alignment horizontal="center" vertical="center"/>
      <protection hidden="1"/>
    </xf>
    <xf numFmtId="0" fontId="58" fillId="0" borderId="5" xfId="0" applyFont="1" applyBorder="1" applyAlignment="1" applyProtection="1">
      <alignment horizontal="center" vertical="center" textRotation="90"/>
      <protection hidden="1"/>
    </xf>
    <xf numFmtId="0" fontId="59" fillId="0" borderId="8" xfId="0" applyFont="1" applyBorder="1" applyAlignment="1" applyProtection="1">
      <alignment horizontal="center" vertical="center" textRotation="90"/>
      <protection locked="0"/>
    </xf>
    <xf numFmtId="0" fontId="1" fillId="0" borderId="122" xfId="0" applyFont="1" applyBorder="1" applyAlignment="1">
      <alignment vertical="center"/>
    </xf>
    <xf numFmtId="0" fontId="1" fillId="0" borderId="124" xfId="0" applyFont="1" applyBorder="1" applyAlignment="1">
      <alignment horizontal="center" vertical="center"/>
    </xf>
    <xf numFmtId="0" fontId="59" fillId="0" borderId="124" xfId="0" applyFont="1" applyBorder="1" applyAlignment="1" applyProtection="1">
      <alignment horizontal="justify" vertical="center" wrapText="1"/>
      <protection locked="0"/>
    </xf>
    <xf numFmtId="0" fontId="59" fillId="0" borderId="124" xfId="0" applyFont="1" applyBorder="1" applyAlignment="1" applyProtection="1">
      <alignment horizontal="center" vertical="center"/>
      <protection hidden="1"/>
    </xf>
    <xf numFmtId="0" fontId="59" fillId="0" borderId="124" xfId="0" applyFont="1" applyBorder="1" applyAlignment="1" applyProtection="1">
      <alignment horizontal="center" vertical="center" textRotation="90"/>
      <protection locked="0"/>
    </xf>
    <xf numFmtId="9" fontId="59" fillId="0" borderId="124" xfId="0" applyNumberFormat="1" applyFont="1" applyBorder="1" applyAlignment="1" applyProtection="1">
      <alignment horizontal="center" vertical="center"/>
      <protection hidden="1"/>
    </xf>
    <xf numFmtId="164" fontId="59" fillId="0" borderId="124" xfId="1" applyNumberFormat="1" applyFont="1" applyBorder="1" applyAlignment="1">
      <alignment horizontal="center" vertical="center"/>
    </xf>
    <xf numFmtId="0" fontId="58" fillId="0" borderId="124" xfId="0" applyFont="1" applyBorder="1" applyAlignment="1" applyProtection="1">
      <alignment horizontal="center" vertical="center" textRotation="90" wrapText="1"/>
      <protection hidden="1"/>
    </xf>
    <xf numFmtId="9" fontId="59" fillId="0" borderId="123" xfId="0" applyNumberFormat="1" applyFont="1" applyBorder="1" applyAlignment="1" applyProtection="1">
      <alignment horizontal="center" vertical="center"/>
      <protection hidden="1"/>
    </xf>
    <xf numFmtId="0" fontId="58" fillId="0" borderId="124" xfId="0" applyFont="1" applyBorder="1" applyAlignment="1" applyProtection="1">
      <alignment horizontal="center" vertical="center" textRotation="90"/>
      <protection hidden="1"/>
    </xf>
    <xf numFmtId="0" fontId="1" fillId="0" borderId="123" xfId="0" applyFont="1" applyBorder="1" applyAlignment="1" applyProtection="1">
      <alignment horizontal="center" vertical="center" textRotation="90"/>
      <protection locked="0"/>
    </xf>
    <xf numFmtId="0" fontId="1" fillId="0" borderId="124" xfId="0" applyFont="1" applyBorder="1" applyAlignment="1" applyProtection="1">
      <alignment horizontal="center" vertical="center" wrapText="1"/>
      <protection locked="0"/>
    </xf>
    <xf numFmtId="14" fontId="1" fillId="0" borderId="124" xfId="0" applyNumberFormat="1" applyFont="1" applyBorder="1" applyAlignment="1" applyProtection="1">
      <alignment horizontal="center" vertical="center"/>
      <protection locked="0"/>
    </xf>
    <xf numFmtId="0" fontId="1" fillId="0" borderId="124" xfId="0" applyFont="1" applyBorder="1" applyAlignment="1" applyProtection="1">
      <alignment horizontal="center" vertical="center"/>
      <protection locked="0"/>
    </xf>
    <xf numFmtId="0" fontId="1" fillId="0" borderId="128" xfId="0" applyFont="1" applyBorder="1" applyAlignment="1">
      <alignment vertical="center"/>
    </xf>
    <xf numFmtId="0" fontId="59" fillId="0" borderId="129" xfId="0" applyFont="1" applyBorder="1" applyAlignment="1" applyProtection="1">
      <alignment vertical="center" wrapText="1"/>
      <protection locked="0"/>
    </xf>
    <xf numFmtId="0" fontId="71" fillId="0" borderId="129" xfId="0" applyFont="1" applyBorder="1" applyAlignment="1" applyProtection="1">
      <alignment horizontal="center" vertical="center" wrapText="1"/>
      <protection locked="0"/>
    </xf>
    <xf numFmtId="0" fontId="34" fillId="0" borderId="129" xfId="0" applyFont="1" applyBorder="1" applyAlignment="1" applyProtection="1">
      <alignment vertical="center" wrapText="1"/>
      <protection locked="0"/>
    </xf>
    <xf numFmtId="0" fontId="59" fillId="0" borderId="129" xfId="0" applyFont="1" applyBorder="1" applyAlignment="1" applyProtection="1">
      <alignment vertical="center"/>
      <protection locked="0"/>
    </xf>
    <xf numFmtId="0" fontId="58" fillId="0" borderId="130" xfId="0" applyFont="1" applyBorder="1" applyAlignment="1" applyProtection="1">
      <alignment horizontal="center" vertical="center" wrapText="1"/>
      <protection hidden="1"/>
    </xf>
    <xf numFmtId="9" fontId="59" fillId="0" borderId="130" xfId="0" applyNumberFormat="1" applyFont="1" applyBorder="1" applyAlignment="1" applyProtection="1">
      <alignment horizontal="center" vertical="center" wrapText="1"/>
      <protection hidden="1"/>
    </xf>
    <xf numFmtId="0" fontId="58" fillId="0" borderId="130" xfId="0" applyFont="1" applyBorder="1" applyAlignment="1" applyProtection="1">
      <alignment horizontal="center" vertical="center"/>
      <protection hidden="1"/>
    </xf>
    <xf numFmtId="0" fontId="1" fillId="0" borderId="130" xfId="0" applyFont="1" applyBorder="1" applyAlignment="1">
      <alignment horizontal="center" vertical="center"/>
    </xf>
    <xf numFmtId="0" fontId="59" fillId="0" borderId="130" xfId="0" applyFont="1" applyBorder="1" applyAlignment="1" applyProtection="1">
      <alignment horizontal="justify" vertical="center" wrapText="1"/>
      <protection locked="0"/>
    </xf>
    <xf numFmtId="0" fontId="59" fillId="0" borderId="130" xfId="0" applyFont="1" applyBorder="1" applyAlignment="1" applyProtection="1">
      <alignment horizontal="center" vertical="center"/>
      <protection hidden="1"/>
    </xf>
    <xf numFmtId="0" fontId="59" fillId="0" borderId="130" xfId="0" applyFont="1" applyBorder="1" applyAlignment="1" applyProtection="1">
      <alignment horizontal="center" vertical="center" textRotation="90"/>
      <protection locked="0"/>
    </xf>
    <xf numFmtId="9" fontId="59" fillId="0" borderId="130" xfId="0" applyNumberFormat="1" applyFont="1" applyBorder="1" applyAlignment="1" applyProtection="1">
      <alignment horizontal="center" vertical="center"/>
      <protection hidden="1"/>
    </xf>
    <xf numFmtId="164" fontId="59" fillId="0" borderId="130" xfId="1" applyNumberFormat="1" applyFont="1" applyBorder="1" applyAlignment="1">
      <alignment horizontal="center" vertical="center"/>
    </xf>
    <xf numFmtId="0" fontId="58" fillId="0" borderId="130" xfId="0" applyFont="1" applyBorder="1" applyAlignment="1" applyProtection="1">
      <alignment horizontal="center" vertical="center" textRotation="90" wrapText="1"/>
      <protection hidden="1"/>
    </xf>
    <xf numFmtId="0" fontId="58" fillId="0" borderId="130" xfId="0" applyFont="1" applyBorder="1" applyAlignment="1" applyProtection="1">
      <alignment horizontal="center" vertical="center" textRotation="90"/>
      <protection hidden="1"/>
    </xf>
    <xf numFmtId="0" fontId="1" fillId="0" borderId="130" xfId="0" applyFont="1" applyBorder="1" applyAlignment="1" applyProtection="1">
      <alignment horizontal="center" vertical="center" textRotation="90"/>
      <protection locked="0"/>
    </xf>
    <xf numFmtId="0" fontId="1" fillId="0" borderId="130" xfId="0" applyFont="1" applyBorder="1" applyAlignment="1" applyProtection="1">
      <alignment horizontal="center" vertical="center" wrapText="1"/>
      <protection locked="0"/>
    </xf>
    <xf numFmtId="14" fontId="1" fillId="0" borderId="130" xfId="0" applyNumberFormat="1" applyFont="1" applyBorder="1" applyAlignment="1" applyProtection="1">
      <alignment horizontal="center" vertical="center"/>
      <protection locked="0"/>
    </xf>
    <xf numFmtId="0" fontId="1" fillId="0" borderId="130" xfId="0" applyFont="1" applyBorder="1" applyAlignment="1" applyProtection="1">
      <alignment horizontal="center" vertical="center"/>
      <protection locked="0"/>
    </xf>
    <xf numFmtId="0" fontId="59" fillId="0" borderId="130" xfId="0" applyFont="1" applyBorder="1" applyAlignment="1">
      <alignment horizontal="center" vertical="center"/>
    </xf>
    <xf numFmtId="0" fontId="59" fillId="0" borderId="130" xfId="0" applyFont="1" applyBorder="1" applyAlignment="1">
      <alignment horizontal="justify" vertical="center" wrapText="1"/>
    </xf>
    <xf numFmtId="0" fontId="59" fillId="0" borderId="130" xfId="0" applyFont="1" applyBorder="1" applyAlignment="1">
      <alignment vertical="center" wrapText="1"/>
    </xf>
    <xf numFmtId="0" fontId="59" fillId="0" borderId="130" xfId="0" applyFont="1" applyBorder="1" applyAlignment="1" applyProtection="1">
      <alignment horizontal="center" vertical="center" wrapText="1"/>
      <protection hidden="1"/>
    </xf>
    <xf numFmtId="0" fontId="59" fillId="0" borderId="124" xfId="0" applyFont="1" applyBorder="1" applyAlignment="1">
      <alignment horizontal="center" vertical="center"/>
    </xf>
    <xf numFmtId="0" fontId="59" fillId="0" borderId="124" xfId="0" applyFont="1" applyBorder="1" applyAlignment="1">
      <alignment horizontal="justify" vertical="center" wrapText="1"/>
    </xf>
    <xf numFmtId="0" fontId="59" fillId="0" borderId="123" xfId="0" applyFont="1" applyBorder="1" applyAlignment="1" applyProtection="1">
      <alignment horizontal="center" vertical="center" textRotation="90"/>
      <protection locked="0"/>
    </xf>
    <xf numFmtId="0" fontId="59" fillId="0" borderId="123" xfId="0" applyFont="1" applyBorder="1" applyAlignment="1">
      <alignment vertical="center" wrapText="1"/>
    </xf>
    <xf numFmtId="14" fontId="59" fillId="0" borderId="123" xfId="0" applyNumberFormat="1" applyFont="1" applyBorder="1" applyAlignment="1">
      <alignment vertical="center" wrapText="1"/>
    </xf>
    <xf numFmtId="17" fontId="59" fillId="0" borderId="123" xfId="0" applyNumberFormat="1" applyFont="1" applyBorder="1" applyAlignment="1">
      <alignment horizontal="center" vertical="center" wrapText="1"/>
    </xf>
    <xf numFmtId="0" fontId="74" fillId="0" borderId="124" xfId="0" applyFont="1" applyBorder="1" applyAlignment="1" applyProtection="1">
      <alignment horizontal="center" vertical="center"/>
      <protection locked="0"/>
    </xf>
    <xf numFmtId="9" fontId="74" fillId="0" borderId="129" xfId="0" applyNumberFormat="1" applyFont="1" applyBorder="1" applyAlignment="1" applyProtection="1">
      <alignment horizontal="center" vertical="center" wrapText="1"/>
      <protection hidden="1"/>
    </xf>
    <xf numFmtId="0" fontId="1" fillId="0" borderId="130" xfId="0" applyFont="1" applyBorder="1" applyAlignment="1" applyProtection="1">
      <alignment horizontal="center" vertical="center"/>
      <protection hidden="1"/>
    </xf>
    <xf numFmtId="0" fontId="74" fillId="0" borderId="130" xfId="0" applyFont="1" applyBorder="1" applyAlignment="1" applyProtection="1">
      <alignment horizontal="center" vertical="center" wrapText="1"/>
      <protection locked="0"/>
    </xf>
    <xf numFmtId="14" fontId="59" fillId="0" borderId="130" xfId="0" applyNumberFormat="1" applyFont="1" applyBorder="1" applyAlignment="1">
      <alignment vertical="center" wrapText="1"/>
    </xf>
    <xf numFmtId="0" fontId="74" fillId="0" borderId="130" xfId="0" applyFont="1" applyBorder="1" applyAlignment="1" applyProtection="1">
      <alignment horizontal="center" vertical="center"/>
      <protection locked="0"/>
    </xf>
    <xf numFmtId="0" fontId="59" fillId="0" borderId="8" xfId="0" applyFont="1" applyBorder="1" applyAlignment="1" applyProtection="1">
      <alignment vertical="center" wrapText="1"/>
      <protection locked="0"/>
    </xf>
    <xf numFmtId="14" fontId="59" fillId="0" borderId="8" xfId="0" applyNumberFormat="1" applyFont="1" applyBorder="1" applyAlignment="1">
      <alignment vertical="center" wrapText="1"/>
    </xf>
    <xf numFmtId="17" fontId="59" fillId="0" borderId="8" xfId="0" applyNumberFormat="1" applyFont="1" applyBorder="1" applyAlignment="1">
      <alignment horizontal="center" vertical="center" wrapText="1"/>
    </xf>
    <xf numFmtId="0" fontId="59" fillId="0" borderId="2" xfId="0" applyFont="1" applyBorder="1" applyAlignment="1">
      <alignment horizontal="justify" vertical="center" wrapText="1"/>
    </xf>
    <xf numFmtId="0" fontId="59" fillId="0" borderId="2" xfId="0" applyFont="1" applyBorder="1" applyAlignment="1" applyProtection="1">
      <alignment horizontal="center" vertical="center"/>
      <protection hidden="1"/>
    </xf>
    <xf numFmtId="0" fontId="59" fillId="0" borderId="2" xfId="0" applyFont="1" applyBorder="1" applyAlignment="1" applyProtection="1">
      <alignment horizontal="center" vertical="center" textRotation="90"/>
      <protection locked="0"/>
    </xf>
    <xf numFmtId="9" fontId="59" fillId="0" borderId="2" xfId="0" applyNumberFormat="1" applyFont="1" applyBorder="1" applyAlignment="1" applyProtection="1">
      <alignment horizontal="center" vertical="center"/>
      <protection hidden="1"/>
    </xf>
    <xf numFmtId="164" fontId="59" fillId="0" borderId="2" xfId="1" applyNumberFormat="1" applyFont="1" applyBorder="1" applyAlignment="1">
      <alignment horizontal="center" vertical="center"/>
    </xf>
    <xf numFmtId="9" fontId="59" fillId="0" borderId="4" xfId="0" applyNumberFormat="1" applyFont="1" applyBorder="1" applyAlignment="1" applyProtection="1">
      <alignment horizontal="center" vertical="center"/>
      <protection hidden="1"/>
    </xf>
    <xf numFmtId="0" fontId="58" fillId="0" borderId="2" xfId="0" applyFont="1" applyBorder="1" applyAlignment="1" applyProtection="1">
      <alignment horizontal="center" vertical="center" textRotation="90"/>
      <protection hidden="1"/>
    </xf>
    <xf numFmtId="0" fontId="59" fillId="0" borderId="4" xfId="0" applyFont="1" applyBorder="1" applyAlignment="1" applyProtection="1">
      <alignment horizontal="center" vertical="center" textRotation="90"/>
      <protection locked="0"/>
    </xf>
    <xf numFmtId="0" fontId="59" fillId="0" borderId="4" xfId="0" applyFont="1" applyBorder="1" applyAlignment="1" applyProtection="1">
      <alignment vertical="center"/>
      <protection locked="0"/>
    </xf>
    <xf numFmtId="0" fontId="59" fillId="0" borderId="2" xfId="0" applyFont="1" applyBorder="1" applyAlignment="1" applyProtection="1">
      <alignment horizontal="center" vertical="center" wrapText="1"/>
      <protection hidden="1"/>
    </xf>
    <xf numFmtId="0" fontId="58" fillId="0" borderId="2" xfId="0" applyFont="1" applyBorder="1" applyAlignment="1" applyProtection="1">
      <alignment horizontal="center" vertical="center" textRotation="90" wrapText="1"/>
      <protection hidden="1"/>
    </xf>
    <xf numFmtId="0" fontId="59" fillId="0" borderId="2" xfId="0" applyFont="1" applyBorder="1" applyAlignment="1" applyProtection="1">
      <alignment horizontal="left" vertical="center" wrapText="1"/>
      <protection hidden="1"/>
    </xf>
    <xf numFmtId="0" fontId="59" fillId="0" borderId="124" xfId="0" applyFont="1" applyBorder="1" applyAlignment="1" applyProtection="1">
      <alignment horizontal="left" vertical="center" wrapText="1"/>
      <protection hidden="1"/>
    </xf>
    <xf numFmtId="0" fontId="59" fillId="0" borderId="124" xfId="0" applyFont="1" applyBorder="1" applyAlignment="1" applyProtection="1">
      <alignment horizontal="center" vertical="center" wrapText="1"/>
      <protection hidden="1"/>
    </xf>
    <xf numFmtId="0" fontId="59" fillId="0" borderId="130" xfId="0" applyFont="1" applyBorder="1" applyAlignment="1" applyProtection="1">
      <alignment horizontal="left" vertical="center" wrapText="1"/>
      <protection hidden="1"/>
    </xf>
    <xf numFmtId="0" fontId="59" fillId="0" borderId="130" xfId="0" applyFont="1" applyBorder="1" applyAlignment="1" applyProtection="1">
      <alignment horizontal="center" vertical="center"/>
      <protection locked="0"/>
    </xf>
    <xf numFmtId="0" fontId="59" fillId="0" borderId="4" xfId="0" applyFont="1" applyBorder="1" applyAlignment="1">
      <alignment horizontal="center" vertical="center" wrapText="1"/>
    </xf>
    <xf numFmtId="0" fontId="59" fillId="0" borderId="8" xfId="0" applyFont="1" applyBorder="1" applyAlignment="1">
      <alignment horizontal="center" vertical="center" wrapText="1"/>
    </xf>
    <xf numFmtId="0" fontId="59" fillId="0" borderId="4" xfId="0" applyFont="1" applyBorder="1" applyAlignment="1" applyProtection="1">
      <alignment horizontal="center" vertical="center"/>
      <protection locked="0"/>
    </xf>
    <xf numFmtId="0" fontId="59" fillId="0" borderId="4" xfId="0" applyFont="1" applyBorder="1" applyAlignment="1" applyProtection="1">
      <alignment horizontal="center" vertical="center" wrapText="1"/>
      <protection locked="0"/>
    </xf>
    <xf numFmtId="0" fontId="59" fillId="0" borderId="123" xfId="0" applyFont="1" applyBorder="1" applyAlignment="1" applyProtection="1">
      <alignment horizontal="center" vertical="center"/>
      <protection locked="0"/>
    </xf>
    <xf numFmtId="0" fontId="58" fillId="0" borderId="123" xfId="0" applyFont="1" applyBorder="1" applyAlignment="1" applyProtection="1">
      <alignment horizontal="center" vertical="center" wrapText="1"/>
      <protection hidden="1"/>
    </xf>
    <xf numFmtId="9" fontId="59" fillId="0" borderId="123" xfId="0" applyNumberFormat="1" applyFont="1" applyBorder="1" applyAlignment="1" applyProtection="1">
      <alignment horizontal="center" vertical="center" wrapText="1"/>
      <protection hidden="1"/>
    </xf>
    <xf numFmtId="9" fontId="59" fillId="0" borderId="123" xfId="0" applyNumberFormat="1" applyFont="1" applyBorder="1" applyAlignment="1" applyProtection="1">
      <alignment horizontal="center" vertical="center" wrapText="1"/>
      <protection locked="0"/>
    </xf>
    <xf numFmtId="0" fontId="58" fillId="0" borderId="123" xfId="0" applyFont="1" applyBorder="1" applyAlignment="1" applyProtection="1">
      <alignment horizontal="center" vertical="center"/>
      <protection hidden="1"/>
    </xf>
    <xf numFmtId="9" fontId="59" fillId="0" borderId="4" xfId="0" applyNumberFormat="1" applyFont="1" applyBorder="1" applyAlignment="1" applyProtection="1">
      <alignment horizontal="center" vertical="center" wrapText="1"/>
      <protection hidden="1"/>
    </xf>
    <xf numFmtId="9" fontId="59" fillId="0" borderId="129" xfId="0" applyNumberFormat="1" applyFont="1" applyBorder="1" applyAlignment="1" applyProtection="1">
      <alignment horizontal="center" vertical="center" wrapText="1"/>
      <protection hidden="1"/>
    </xf>
    <xf numFmtId="9" fontId="59" fillId="0" borderId="129" xfId="0" applyNumberFormat="1" applyFont="1" applyBorder="1" applyAlignment="1" applyProtection="1">
      <alignment horizontal="center" vertical="center" wrapText="1"/>
      <protection locked="0"/>
    </xf>
    <xf numFmtId="0" fontId="58" fillId="0" borderId="4" xfId="0" applyFont="1" applyBorder="1" applyAlignment="1" applyProtection="1">
      <alignment horizontal="center" vertical="center" wrapText="1"/>
      <protection hidden="1"/>
    </xf>
    <xf numFmtId="9" fontId="59" fillId="0" borderId="8" xfId="0" applyNumberFormat="1" applyFont="1" applyBorder="1" applyAlignment="1" applyProtection="1">
      <alignment horizontal="center" vertical="center" wrapText="1"/>
      <protection hidden="1"/>
    </xf>
    <xf numFmtId="0" fontId="58" fillId="0" borderId="4" xfId="0" applyFont="1" applyBorder="1" applyAlignment="1" applyProtection="1">
      <alignment horizontal="center" vertical="center"/>
      <protection hidden="1"/>
    </xf>
    <xf numFmtId="0" fontId="59" fillId="0" borderId="29" xfId="0" applyFont="1" applyBorder="1" applyAlignment="1">
      <alignment horizontal="center" vertical="center"/>
    </xf>
    <xf numFmtId="0" fontId="59" fillId="0" borderId="74" xfId="0" applyFont="1" applyBorder="1" applyAlignment="1">
      <alignment horizontal="center" vertical="center"/>
    </xf>
    <xf numFmtId="0" fontId="59" fillId="0" borderId="8" xfId="0" applyFont="1" applyBorder="1" applyAlignment="1" applyProtection="1">
      <alignment horizontal="center" vertical="center"/>
      <protection locked="0"/>
    </xf>
    <xf numFmtId="9" fontId="1" fillId="0" borderId="8" xfId="0" applyNumberFormat="1" applyFont="1" applyBorder="1" applyAlignment="1" applyProtection="1">
      <alignment horizontal="center" vertical="center" wrapText="1"/>
      <protection hidden="1"/>
    </xf>
    <xf numFmtId="0" fontId="59" fillId="0" borderId="109" xfId="0" applyFont="1" applyBorder="1" applyAlignment="1">
      <alignment horizontal="center" vertical="center" wrapText="1"/>
    </xf>
    <xf numFmtId="0" fontId="58" fillId="2" borderId="2" xfId="0" applyFont="1" applyFill="1" applyBorder="1" applyAlignment="1">
      <alignment horizontal="center" vertical="center" wrapText="1"/>
    </xf>
    <xf numFmtId="9" fontId="1" fillId="0" borderId="5" xfId="0" applyNumberFormat="1" applyFont="1" applyBorder="1" applyAlignment="1" applyProtection="1">
      <alignment horizontal="center" vertical="center" wrapText="1"/>
      <protection hidden="1"/>
    </xf>
    <xf numFmtId="0" fontId="1" fillId="0" borderId="4"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9" fontId="1" fillId="0" borderId="5" xfId="0" applyNumberFormat="1" applyFont="1" applyBorder="1" applyAlignment="1" applyProtection="1">
      <alignment horizontal="center" vertical="center" wrapText="1"/>
      <protection locked="0"/>
    </xf>
    <xf numFmtId="0" fontId="1" fillId="0" borderId="4" xfId="0" applyFont="1" applyBorder="1" applyAlignment="1">
      <alignment horizontal="center" vertical="center"/>
    </xf>
    <xf numFmtId="9" fontId="59" fillId="0" borderId="4" xfId="0" applyNumberFormat="1" applyFont="1" applyBorder="1" applyAlignment="1" applyProtection="1">
      <alignment horizontal="center" vertical="center" wrapText="1"/>
      <protection locked="0"/>
    </xf>
    <xf numFmtId="9" fontId="1" fillId="0" borderId="123" xfId="0" applyNumberFormat="1" applyFont="1" applyBorder="1" applyAlignment="1" applyProtection="1">
      <alignment horizontal="center" vertical="center" wrapText="1"/>
      <protection hidden="1"/>
    </xf>
    <xf numFmtId="0" fontId="36" fillId="15" borderId="44" xfId="0" applyFont="1" applyFill="1" applyBorder="1" applyAlignment="1">
      <alignment horizontal="center" vertical="center" wrapText="1" readingOrder="1"/>
    </xf>
    <xf numFmtId="0" fontId="36" fillId="3" borderId="33" xfId="0" applyFont="1" applyFill="1" applyBorder="1" applyAlignment="1">
      <alignment horizontal="center" vertical="center" wrapText="1" readingOrder="1"/>
    </xf>
    <xf numFmtId="0" fontId="36" fillId="3" borderId="32" xfId="0" applyFont="1" applyFill="1" applyBorder="1" applyAlignment="1">
      <alignment horizontal="center" vertical="center" wrapText="1" readingOrder="1"/>
    </xf>
    <xf numFmtId="0" fontId="36" fillId="3" borderId="39" xfId="0" applyFont="1" applyFill="1" applyBorder="1" applyAlignment="1">
      <alignment horizontal="center" vertical="center" wrapText="1" readingOrder="1"/>
    </xf>
    <xf numFmtId="0" fontId="1" fillId="0" borderId="8" xfId="0" applyFont="1" applyBorder="1" applyAlignment="1" applyProtection="1">
      <alignment horizontal="center" vertical="center"/>
      <protection locked="0"/>
    </xf>
    <xf numFmtId="9" fontId="59" fillId="0" borderId="8" xfId="0" applyNumberFormat="1" applyFont="1" applyBorder="1" applyAlignment="1" applyProtection="1">
      <alignment horizontal="center" vertical="center" wrapText="1"/>
      <protection locked="0"/>
    </xf>
    <xf numFmtId="0" fontId="1" fillId="0" borderId="8" xfId="0" applyFont="1" applyBorder="1" applyAlignment="1">
      <alignment horizontal="center" vertical="center"/>
    </xf>
    <xf numFmtId="0" fontId="1" fillId="0" borderId="74" xfId="0" applyFont="1" applyBorder="1" applyAlignment="1">
      <alignment vertical="center"/>
    </xf>
    <xf numFmtId="0" fontId="71" fillId="0" borderId="8" xfId="0" applyFont="1" applyBorder="1" applyAlignment="1" applyProtection="1">
      <alignment horizontal="center" vertical="center" wrapText="1"/>
      <protection locked="0"/>
    </xf>
    <xf numFmtId="0" fontId="59" fillId="0" borderId="8" xfId="0" applyFont="1" applyBorder="1" applyAlignment="1" applyProtection="1">
      <alignment horizontal="justify" vertical="center" wrapText="1"/>
      <protection locked="0"/>
    </xf>
    <xf numFmtId="14" fontId="1" fillId="0" borderId="8" xfId="0" applyNumberFormat="1" applyFont="1" applyBorder="1" applyAlignment="1" applyProtection="1">
      <alignment horizontal="center" vertical="center"/>
      <protection locked="0"/>
    </xf>
    <xf numFmtId="9" fontId="1" fillId="0" borderId="8" xfId="0" applyNumberFormat="1" applyFont="1" applyBorder="1" applyAlignment="1" applyProtection="1">
      <alignment vertical="center" wrapText="1"/>
      <protection hidden="1"/>
    </xf>
    <xf numFmtId="9" fontId="1" fillId="0" borderId="129" xfId="0" applyNumberFormat="1" applyFont="1" applyBorder="1" applyAlignment="1" applyProtection="1">
      <alignment vertical="center" wrapText="1"/>
      <protection hidden="1"/>
    </xf>
    <xf numFmtId="0" fontId="59" fillId="13" borderId="2" xfId="0" applyFont="1" applyFill="1" applyBorder="1" applyAlignment="1">
      <alignment horizontal="center" vertical="center"/>
    </xf>
    <xf numFmtId="0" fontId="59" fillId="13" borderId="5" xfId="0" applyFont="1" applyFill="1" applyBorder="1" applyAlignment="1" applyProtection="1">
      <alignment horizontal="center" vertical="center"/>
      <protection locked="0"/>
    </xf>
    <xf numFmtId="0" fontId="1" fillId="13" borderId="5" xfId="0" applyFont="1" applyFill="1" applyBorder="1" applyAlignment="1">
      <alignment horizontal="center" vertical="center"/>
    </xf>
    <xf numFmtId="0" fontId="59" fillId="13" borderId="5" xfId="0" applyFont="1" applyFill="1" applyBorder="1" applyAlignment="1">
      <alignment horizontal="center" vertical="center" wrapText="1"/>
    </xf>
    <xf numFmtId="9" fontId="59" fillId="13" borderId="5" xfId="0" applyNumberFormat="1" applyFont="1" applyFill="1" applyBorder="1" applyAlignment="1" applyProtection="1">
      <alignment horizontal="center" vertical="center" wrapText="1"/>
      <protection hidden="1"/>
    </xf>
    <xf numFmtId="9" fontId="59" fillId="13" borderId="8" xfId="0" applyNumberFormat="1" applyFont="1" applyFill="1" applyBorder="1" applyAlignment="1" applyProtection="1">
      <alignment horizontal="center" vertical="center" wrapText="1"/>
      <protection locked="0"/>
    </xf>
    <xf numFmtId="0" fontId="58" fillId="13" borderId="8" xfId="0" applyFont="1" applyFill="1" applyBorder="1" applyAlignment="1" applyProtection="1">
      <alignment horizontal="center" vertical="center"/>
      <protection hidden="1"/>
    </xf>
    <xf numFmtId="0" fontId="59" fillId="13" borderId="2" xfId="0" applyFont="1" applyFill="1" applyBorder="1" applyAlignment="1">
      <alignment horizontal="justify" vertical="center" wrapText="1"/>
    </xf>
    <xf numFmtId="0" fontId="59" fillId="13" borderId="2" xfId="0" applyFont="1" applyFill="1" applyBorder="1" applyAlignment="1" applyProtection="1">
      <alignment horizontal="center" vertical="center"/>
      <protection hidden="1"/>
    </xf>
    <xf numFmtId="0" fontId="59" fillId="13" borderId="2" xfId="0" applyFont="1" applyFill="1" applyBorder="1" applyAlignment="1" applyProtection="1">
      <alignment horizontal="center" vertical="center" textRotation="90"/>
      <protection locked="0"/>
    </xf>
    <xf numFmtId="9" fontId="59" fillId="13" borderId="2" xfId="0" applyNumberFormat="1" applyFont="1" applyFill="1" applyBorder="1" applyAlignment="1" applyProtection="1">
      <alignment horizontal="center" vertical="center"/>
      <protection hidden="1"/>
    </xf>
    <xf numFmtId="164" fontId="59" fillId="13" borderId="2" xfId="1" applyNumberFormat="1" applyFont="1" applyFill="1" applyBorder="1" applyAlignment="1">
      <alignment horizontal="center" vertical="center"/>
    </xf>
    <xf numFmtId="0" fontId="58" fillId="13" borderId="2" xfId="0" applyFont="1" applyFill="1" applyBorder="1" applyAlignment="1" applyProtection="1">
      <alignment horizontal="center" vertical="center" textRotation="90" wrapText="1"/>
      <protection hidden="1"/>
    </xf>
    <xf numFmtId="164" fontId="59" fillId="13" borderId="4" xfId="0" applyNumberFormat="1" applyFont="1" applyFill="1" applyBorder="1" applyAlignment="1" applyProtection="1">
      <alignment horizontal="center" vertical="center"/>
      <protection hidden="1"/>
    </xf>
    <xf numFmtId="9" fontId="59" fillId="13" borderId="4" xfId="0" applyNumberFormat="1" applyFont="1" applyFill="1" applyBorder="1" applyAlignment="1" applyProtection="1">
      <alignment horizontal="center" vertical="center"/>
      <protection hidden="1"/>
    </xf>
    <xf numFmtId="0" fontId="58" fillId="13" borderId="2" xfId="0" applyFont="1" applyFill="1" applyBorder="1" applyAlignment="1" applyProtection="1">
      <alignment horizontal="center" vertical="center" textRotation="90"/>
      <protection hidden="1"/>
    </xf>
    <xf numFmtId="0" fontId="59" fillId="13" borderId="4" xfId="0" applyFont="1" applyFill="1" applyBorder="1" applyAlignment="1" applyProtection="1">
      <alignment horizontal="center" vertical="center" textRotation="90"/>
      <protection locked="0"/>
    </xf>
    <xf numFmtId="0" fontId="59" fillId="13" borderId="4" xfId="0" applyFont="1" applyFill="1" applyBorder="1" applyAlignment="1">
      <alignment vertical="center" wrapText="1"/>
    </xf>
    <xf numFmtId="14" fontId="59" fillId="13" borderId="4" xfId="0" applyNumberFormat="1" applyFont="1" applyFill="1" applyBorder="1" applyAlignment="1">
      <alignment vertical="center" wrapText="1"/>
    </xf>
    <xf numFmtId="17" fontId="59" fillId="13" borderId="4" xfId="0" applyNumberFormat="1" applyFont="1" applyFill="1" applyBorder="1" applyAlignment="1">
      <alignment horizontal="center" vertical="center" wrapText="1"/>
    </xf>
    <xf numFmtId="0" fontId="59" fillId="13" borderId="8" xfId="0" applyFont="1" applyFill="1" applyBorder="1" applyAlignment="1" applyProtection="1">
      <alignment horizontal="center" vertical="center"/>
      <protection locked="0"/>
    </xf>
    <xf numFmtId="0" fontId="59" fillId="13" borderId="4" xfId="0" applyFont="1" applyFill="1" applyBorder="1" applyAlignment="1" applyProtection="1">
      <alignment horizontal="center" vertical="center"/>
      <protection locked="0"/>
    </xf>
    <xf numFmtId="0" fontId="1" fillId="13" borderId="0" xfId="0" applyFont="1" applyFill="1" applyAlignment="1">
      <alignment vertical="center"/>
    </xf>
    <xf numFmtId="9" fontId="1" fillId="13" borderId="5" xfId="0" applyNumberFormat="1" applyFont="1" applyFill="1" applyBorder="1" applyAlignment="1" applyProtection="1">
      <alignment horizontal="center" vertical="center" wrapText="1"/>
      <protection hidden="1"/>
    </xf>
    <xf numFmtId="0" fontId="58" fillId="13" borderId="4" xfId="0" applyFont="1" applyFill="1" applyBorder="1" applyAlignment="1" applyProtection="1">
      <alignment horizontal="center" vertical="center" wrapText="1"/>
      <protection hidden="1"/>
    </xf>
    <xf numFmtId="9" fontId="59" fillId="3" borderId="129" xfId="0" applyNumberFormat="1" applyFont="1" applyFill="1" applyBorder="1" applyAlignment="1" applyProtection="1">
      <alignment horizontal="center" vertical="center" wrapText="1"/>
      <protection hidden="1"/>
    </xf>
    <xf numFmtId="0" fontId="59" fillId="3" borderId="2" xfId="0" applyFont="1" applyFill="1" applyBorder="1" applyAlignment="1">
      <alignment horizontal="center" vertical="center"/>
    </xf>
    <xf numFmtId="0" fontId="59" fillId="3" borderId="130" xfId="0" applyFont="1" applyFill="1" applyBorder="1" applyAlignment="1" applyProtection="1">
      <alignment horizontal="justify" vertical="center" wrapText="1"/>
      <protection locked="0"/>
    </xf>
    <xf numFmtId="0" fontId="59" fillId="3" borderId="130" xfId="0" applyFont="1" applyFill="1" applyBorder="1" applyAlignment="1" applyProtection="1">
      <alignment horizontal="center" vertical="center"/>
      <protection hidden="1"/>
    </xf>
    <xf numFmtId="0" fontId="59" fillId="3" borderId="130" xfId="0" applyFont="1" applyFill="1" applyBorder="1" applyAlignment="1" applyProtection="1">
      <alignment horizontal="center" vertical="center" textRotation="90"/>
      <protection locked="0"/>
    </xf>
    <xf numFmtId="14" fontId="1" fillId="3" borderId="130" xfId="0" applyNumberFormat="1" applyFont="1" applyFill="1" applyBorder="1" applyAlignment="1" applyProtection="1">
      <alignment horizontal="center" vertical="center"/>
      <protection locked="0"/>
    </xf>
    <xf numFmtId="0" fontId="1" fillId="3" borderId="130" xfId="0" applyFont="1" applyFill="1" applyBorder="1" applyAlignment="1" applyProtection="1">
      <alignment horizontal="center" vertical="center"/>
      <protection locked="0"/>
    </xf>
    <xf numFmtId="0" fontId="59" fillId="3" borderId="2" xfId="0" applyFont="1" applyFill="1" applyBorder="1" applyAlignment="1">
      <alignment horizontal="justify" vertical="center" wrapText="1"/>
    </xf>
    <xf numFmtId="9" fontId="59" fillId="3" borderId="8" xfId="0" applyNumberFormat="1" applyFont="1" applyFill="1" applyBorder="1" applyAlignment="1" applyProtection="1">
      <alignment horizontal="center" vertical="center" wrapText="1"/>
      <protection hidden="1"/>
    </xf>
    <xf numFmtId="9" fontId="59" fillId="0" borderId="29" xfId="0" applyNumberFormat="1" applyFont="1" applyBorder="1" applyAlignment="1" applyProtection="1">
      <alignment horizontal="center" vertical="center" wrapText="1"/>
      <protection hidden="1"/>
    </xf>
    <xf numFmtId="0" fontId="59" fillId="0" borderId="145" xfId="0" applyFont="1" applyBorder="1" applyAlignment="1">
      <alignment horizontal="center" vertical="center" wrapText="1"/>
    </xf>
    <xf numFmtId="0" fontId="59" fillId="0" borderId="146" xfId="0" applyFont="1" applyBorder="1" applyAlignment="1">
      <alignment horizontal="center" vertical="center" wrapText="1"/>
    </xf>
    <xf numFmtId="0" fontId="59" fillId="0" borderId="146" xfId="0" applyFont="1" applyBorder="1" applyAlignment="1" applyProtection="1">
      <alignment horizontal="center" vertical="center"/>
      <protection locked="0"/>
    </xf>
    <xf numFmtId="0" fontId="58" fillId="0" borderId="143" xfId="0" applyFont="1" applyBorder="1" applyAlignment="1" applyProtection="1">
      <alignment horizontal="center" vertical="center" wrapText="1"/>
      <protection hidden="1"/>
    </xf>
    <xf numFmtId="0" fontId="59" fillId="0" borderId="145" xfId="0" applyFont="1" applyBorder="1" applyAlignment="1">
      <alignment horizontal="center" vertical="center"/>
    </xf>
    <xf numFmtId="0" fontId="59" fillId="0" borderId="143" xfId="0" applyFont="1" applyBorder="1" applyAlignment="1">
      <alignment horizontal="center" vertical="center" wrapText="1"/>
    </xf>
    <xf numFmtId="164" fontId="59" fillId="3" borderId="2" xfId="1" applyNumberFormat="1" applyFont="1" applyFill="1" applyBorder="1" applyAlignment="1">
      <alignment horizontal="center" vertical="center"/>
    </xf>
    <xf numFmtId="0" fontId="59" fillId="0" borderId="148" xfId="0" applyFont="1" applyBorder="1" applyAlignment="1" applyProtection="1">
      <alignment horizontal="center" vertical="center"/>
      <protection locked="0"/>
    </xf>
    <xf numFmtId="0" fontId="59" fillId="0" borderId="29" xfId="0" applyFont="1" applyBorder="1" applyAlignment="1" applyProtection="1">
      <alignment horizontal="center" vertical="center"/>
      <protection locked="0"/>
    </xf>
    <xf numFmtId="0" fontId="59" fillId="0" borderId="150" xfId="0" applyFont="1" applyBorder="1" applyAlignment="1" applyProtection="1">
      <alignment horizontal="center" vertical="center"/>
      <protection locked="0"/>
    </xf>
    <xf numFmtId="0" fontId="59" fillId="0" borderId="9" xfId="0" applyFont="1" applyBorder="1" applyAlignment="1" applyProtection="1">
      <alignment horizontal="center" vertical="center"/>
      <protection locked="0"/>
    </xf>
    <xf numFmtId="0" fontId="59" fillId="0" borderId="151" xfId="0" applyFont="1" applyBorder="1" applyAlignment="1" applyProtection="1">
      <alignment horizontal="center" vertical="center"/>
      <protection locked="0"/>
    </xf>
    <xf numFmtId="0" fontId="59" fillId="0" borderId="152" xfId="0" applyFont="1" applyBorder="1" applyAlignment="1" applyProtection="1">
      <alignment horizontal="center" vertical="center"/>
      <protection locked="0"/>
    </xf>
    <xf numFmtId="0" fontId="59" fillId="0" borderId="141" xfId="0" applyFont="1" applyBorder="1" applyAlignment="1" applyProtection="1">
      <alignment horizontal="center" vertical="center"/>
      <protection locked="0"/>
    </xf>
    <xf numFmtId="0" fontId="59" fillId="0" borderId="153" xfId="0" applyFont="1" applyBorder="1" applyAlignment="1" applyProtection="1">
      <alignment horizontal="center" vertical="center"/>
      <protection locked="0"/>
    </xf>
    <xf numFmtId="0" fontId="59" fillId="0" borderId="154" xfId="0" applyFont="1" applyBorder="1" applyAlignment="1" applyProtection="1">
      <alignment horizontal="center" vertical="center"/>
      <protection locked="0"/>
    </xf>
    <xf numFmtId="0" fontId="59" fillId="0" borderId="155" xfId="0" applyFont="1" applyBorder="1" applyAlignment="1" applyProtection="1">
      <alignment horizontal="center" vertical="center"/>
      <protection locked="0"/>
    </xf>
    <xf numFmtId="0" fontId="59" fillId="0" borderId="156" xfId="0" applyFont="1" applyBorder="1" applyAlignment="1" applyProtection="1">
      <alignment horizontal="center" vertical="center"/>
      <protection locked="0"/>
    </xf>
    <xf numFmtId="0" fontId="1" fillId="0" borderId="158" xfId="0" applyFont="1" applyBorder="1" applyAlignment="1">
      <alignment horizontal="center"/>
    </xf>
    <xf numFmtId="0" fontId="1" fillId="0" borderId="159" xfId="0" applyFont="1" applyBorder="1" applyAlignment="1">
      <alignment horizontal="center"/>
    </xf>
    <xf numFmtId="0" fontId="59" fillId="0" borderId="160" xfId="0" applyFont="1" applyBorder="1" applyAlignment="1" applyProtection="1">
      <alignment horizontal="center" vertical="center"/>
      <protection locked="0"/>
    </xf>
    <xf numFmtId="0" fontId="59" fillId="0" borderId="161" xfId="0" applyFont="1" applyBorder="1" applyAlignment="1" applyProtection="1">
      <alignment horizontal="center" vertical="center"/>
      <protection locked="0"/>
    </xf>
    <xf numFmtId="0" fontId="59" fillId="0" borderId="122" xfId="0" applyFont="1" applyBorder="1" applyAlignment="1" applyProtection="1">
      <alignment horizontal="center" vertical="center"/>
      <protection locked="0"/>
    </xf>
    <xf numFmtId="0" fontId="59" fillId="0" borderId="162" xfId="0" applyFont="1" applyBorder="1" applyAlignment="1" applyProtection="1">
      <alignment horizontal="center" vertical="center"/>
      <protection locked="0"/>
    </xf>
    <xf numFmtId="0" fontId="59" fillId="0" borderId="163" xfId="0" applyFont="1" applyBorder="1" applyAlignment="1" applyProtection="1">
      <alignment horizontal="center" vertical="center"/>
      <protection locked="0"/>
    </xf>
    <xf numFmtId="0" fontId="59" fillId="0" borderId="164" xfId="0" applyFont="1" applyBorder="1" applyAlignment="1" applyProtection="1">
      <alignment horizontal="center" vertical="center"/>
      <protection locked="0"/>
    </xf>
    <xf numFmtId="0" fontId="59" fillId="0" borderId="165" xfId="0" applyFont="1" applyBorder="1" applyAlignment="1" applyProtection="1">
      <alignment horizontal="center" vertical="center"/>
      <protection locked="0"/>
    </xf>
    <xf numFmtId="0" fontId="59" fillId="0" borderId="166" xfId="0" applyFont="1" applyBorder="1" applyAlignment="1" applyProtection="1">
      <alignment horizontal="center" vertical="center"/>
      <protection locked="0"/>
    </xf>
    <xf numFmtId="0" fontId="59" fillId="0" borderId="167" xfId="0" applyFont="1" applyBorder="1" applyAlignment="1" applyProtection="1">
      <alignment horizontal="center" vertical="center"/>
      <protection locked="0"/>
    </xf>
    <xf numFmtId="0" fontId="1" fillId="0" borderId="168" xfId="0" applyFont="1" applyBorder="1" applyAlignment="1">
      <alignment horizontal="center"/>
    </xf>
    <xf numFmtId="0" fontId="59" fillId="0" borderId="149" xfId="0" applyFont="1" applyBorder="1" applyAlignment="1" applyProtection="1">
      <alignment horizontal="center" vertical="center"/>
      <protection locked="0"/>
    </xf>
    <xf numFmtId="0" fontId="54" fillId="3" borderId="63" xfId="2" applyFont="1" applyFill="1" applyBorder="1" applyAlignment="1">
      <alignment horizontal="justify" vertical="center" wrapText="1"/>
    </xf>
    <xf numFmtId="0" fontId="54" fillId="3" borderId="64" xfId="2" applyFont="1" applyFill="1" applyBorder="1" applyAlignment="1">
      <alignment horizontal="justify" vertical="center" wrapText="1"/>
    </xf>
    <xf numFmtId="0" fontId="53" fillId="3" borderId="70" xfId="0" applyFont="1" applyFill="1" applyBorder="1" applyAlignment="1">
      <alignment horizontal="left" vertical="center" wrapText="1"/>
    </xf>
    <xf numFmtId="0" fontId="53" fillId="3" borderId="71" xfId="0" applyFont="1" applyFill="1" applyBorder="1" applyAlignment="1">
      <alignment horizontal="left" vertical="center" wrapText="1"/>
    </xf>
    <xf numFmtId="0" fontId="53" fillId="3" borderId="57" xfId="3" applyFont="1" applyFill="1" applyBorder="1" applyAlignment="1">
      <alignment horizontal="left" vertical="top" wrapText="1" readingOrder="1"/>
    </xf>
    <xf numFmtId="0" fontId="53" fillId="3" borderId="58" xfId="3" applyFont="1" applyFill="1" applyBorder="1" applyAlignment="1">
      <alignment horizontal="left" vertical="top" wrapText="1" readingOrder="1"/>
    </xf>
    <xf numFmtId="0" fontId="54" fillId="3" borderId="59" xfId="2" applyFont="1" applyFill="1" applyBorder="1" applyAlignment="1">
      <alignment horizontal="justify" vertical="center" wrapText="1"/>
    </xf>
    <xf numFmtId="0" fontId="54" fillId="3" borderId="60" xfId="2" applyFont="1" applyFill="1" applyBorder="1" applyAlignment="1">
      <alignment horizontal="justify" vertical="center" wrapText="1"/>
    </xf>
    <xf numFmtId="0" fontId="53" fillId="3" borderId="61" xfId="0" applyFont="1" applyFill="1" applyBorder="1" applyAlignment="1">
      <alignment horizontal="left" vertical="center" wrapText="1"/>
    </xf>
    <xf numFmtId="0" fontId="53" fillId="3" borderId="62" xfId="0" applyFont="1" applyFill="1" applyBorder="1" applyAlignment="1">
      <alignment horizontal="left" vertical="center" wrapText="1"/>
    </xf>
    <xf numFmtId="0" fontId="48" fillId="3" borderId="14" xfId="2" applyFont="1" applyFill="1" applyBorder="1" applyAlignment="1">
      <alignment horizontal="left" vertical="top" wrapText="1"/>
    </xf>
    <xf numFmtId="0" fontId="48" fillId="3" borderId="0" xfId="2" applyFont="1" applyFill="1" applyAlignment="1">
      <alignment horizontal="left" vertical="top" wrapText="1"/>
    </xf>
    <xf numFmtId="0" fontId="48" fillId="3" borderId="15" xfId="2" applyFont="1" applyFill="1" applyBorder="1" applyAlignment="1">
      <alignment horizontal="left" vertical="top" wrapText="1"/>
    </xf>
    <xf numFmtId="0" fontId="53" fillId="3" borderId="72" xfId="0" applyFont="1" applyFill="1" applyBorder="1" applyAlignment="1">
      <alignment horizontal="left" vertical="center" wrapText="1"/>
    </xf>
    <xf numFmtId="0" fontId="53" fillId="3" borderId="73" xfId="0" applyFont="1" applyFill="1" applyBorder="1" applyAlignment="1">
      <alignment horizontal="left" vertical="center" wrapText="1"/>
    </xf>
    <xf numFmtId="0" fontId="54" fillId="3" borderId="65" xfId="0" applyFont="1" applyFill="1" applyBorder="1" applyAlignment="1">
      <alignment horizontal="justify" vertical="center" wrapText="1"/>
    </xf>
    <xf numFmtId="0" fontId="54" fillId="3" borderId="66" xfId="0" applyFont="1" applyFill="1" applyBorder="1" applyAlignment="1">
      <alignment horizontal="justify" vertical="center" wrapText="1"/>
    </xf>
    <xf numFmtId="0" fontId="49" fillId="14" borderId="47" xfId="2" applyFont="1" applyFill="1" applyBorder="1" applyAlignment="1">
      <alignment horizontal="center" vertical="center" wrapText="1"/>
    </xf>
    <xf numFmtId="0" fontId="49" fillId="14" borderId="48" xfId="2" applyFont="1" applyFill="1" applyBorder="1" applyAlignment="1">
      <alignment horizontal="center" vertical="center" wrapText="1"/>
    </xf>
    <xf numFmtId="0" fontId="49" fillId="14" borderId="49" xfId="2" applyFont="1" applyFill="1" applyBorder="1" applyAlignment="1">
      <alignment horizontal="center" vertical="center" wrapText="1"/>
    </xf>
    <xf numFmtId="0" fontId="48" fillId="0" borderId="14" xfId="2" quotePrefix="1" applyFont="1" applyBorder="1" applyAlignment="1">
      <alignment horizontal="left" vertical="center" wrapText="1"/>
    </xf>
    <xf numFmtId="0" fontId="48" fillId="0" borderId="0" xfId="2" quotePrefix="1" applyFont="1" applyAlignment="1">
      <alignment horizontal="left" vertical="center" wrapText="1"/>
    </xf>
    <xf numFmtId="0" fontId="48" fillId="0" borderId="15" xfId="2" quotePrefix="1" applyFont="1" applyBorder="1" applyAlignment="1">
      <alignment horizontal="left" vertical="center" wrapText="1"/>
    </xf>
    <xf numFmtId="0" fontId="48" fillId="0" borderId="67" xfId="2" quotePrefix="1" applyFont="1" applyBorder="1" applyAlignment="1">
      <alignment horizontal="left" vertical="center" wrapText="1"/>
    </xf>
    <xf numFmtId="0" fontId="48" fillId="0" borderId="68" xfId="2" quotePrefix="1" applyFont="1" applyBorder="1" applyAlignment="1">
      <alignment horizontal="left" vertical="center" wrapText="1"/>
    </xf>
    <xf numFmtId="0" fontId="48" fillId="0" borderId="69" xfId="2" quotePrefix="1" applyFont="1" applyBorder="1" applyAlignment="1">
      <alignment horizontal="left" vertical="center" wrapText="1"/>
    </xf>
    <xf numFmtId="0" fontId="50" fillId="3" borderId="50" xfId="2" quotePrefix="1" applyFont="1" applyFill="1" applyBorder="1" applyAlignment="1">
      <alignment horizontal="left" vertical="top" wrapText="1"/>
    </xf>
    <xf numFmtId="0" fontId="51" fillId="3" borderId="51" xfId="2" quotePrefix="1" applyFont="1" applyFill="1" applyBorder="1" applyAlignment="1">
      <alignment horizontal="left" vertical="top" wrapText="1"/>
    </xf>
    <xf numFmtId="0" fontId="51" fillId="3" borderId="52" xfId="2" quotePrefix="1" applyFont="1" applyFill="1" applyBorder="1" applyAlignment="1">
      <alignment horizontal="left" vertical="top" wrapText="1"/>
    </xf>
    <xf numFmtId="0" fontId="48" fillId="0" borderId="14" xfId="2" quotePrefix="1" applyFont="1" applyBorder="1" applyAlignment="1">
      <alignment horizontal="left" vertical="top" wrapText="1"/>
    </xf>
    <xf numFmtId="0" fontId="48" fillId="0" borderId="0" xfId="2" quotePrefix="1" applyFont="1" applyAlignment="1">
      <alignment horizontal="left" vertical="top" wrapText="1"/>
    </xf>
    <xf numFmtId="0" fontId="48" fillId="0" borderId="15" xfId="2" quotePrefix="1" applyFont="1" applyBorder="1" applyAlignment="1">
      <alignment horizontal="left" vertical="top" wrapText="1"/>
    </xf>
    <xf numFmtId="0" fontId="53" fillId="14" borderId="53" xfId="3" applyFont="1" applyFill="1" applyBorder="1" applyAlignment="1">
      <alignment horizontal="center" vertical="center" wrapText="1"/>
    </xf>
    <xf numFmtId="0" fontId="53" fillId="14" borderId="54" xfId="3" applyFont="1" applyFill="1" applyBorder="1" applyAlignment="1">
      <alignment horizontal="center" vertical="center" wrapText="1"/>
    </xf>
    <xf numFmtId="0" fontId="53" fillId="14" borderId="55" xfId="2" applyFont="1" applyFill="1" applyBorder="1" applyAlignment="1">
      <alignment horizontal="center" vertical="center"/>
    </xf>
    <xf numFmtId="0" fontId="53" fillId="14" borderId="56" xfId="2" applyFont="1" applyFill="1" applyBorder="1" applyAlignment="1">
      <alignment horizontal="center" vertical="center"/>
    </xf>
    <xf numFmtId="0" fontId="2" fillId="3" borderId="67" xfId="2" quotePrefix="1" applyFont="1" applyFill="1" applyBorder="1" applyAlignment="1">
      <alignment horizontal="justify" vertical="center" wrapText="1"/>
    </xf>
    <xf numFmtId="0" fontId="2" fillId="3" borderId="68" xfId="2" quotePrefix="1" applyFont="1" applyFill="1" applyBorder="1" applyAlignment="1">
      <alignment horizontal="justify" vertical="center" wrapText="1"/>
    </xf>
    <xf numFmtId="0" fontId="2" fillId="3" borderId="69" xfId="2" quotePrefix="1" applyFont="1" applyFill="1" applyBorder="1" applyAlignment="1">
      <alignment horizontal="justify" vertical="center" wrapText="1"/>
    </xf>
    <xf numFmtId="0" fontId="59" fillId="0" borderId="8" xfId="0" applyFont="1" applyBorder="1" applyAlignment="1" applyProtection="1">
      <alignment horizontal="center" vertical="center"/>
      <protection locked="0"/>
    </xf>
    <xf numFmtId="0" fontId="59" fillId="0" borderId="5" xfId="0" applyFont="1" applyBorder="1" applyAlignment="1" applyProtection="1">
      <alignment horizontal="center" vertical="center"/>
      <protection locked="0"/>
    </xf>
    <xf numFmtId="0" fontId="59" fillId="0" borderId="8" xfId="0" applyFont="1" applyBorder="1" applyAlignment="1">
      <alignment horizontal="center" vertical="center" wrapText="1"/>
    </xf>
    <xf numFmtId="0" fontId="59" fillId="0" borderId="5" xfId="0" applyFont="1" applyBorder="1" applyAlignment="1">
      <alignment horizontal="center" vertical="center" wrapText="1"/>
    </xf>
    <xf numFmtId="0" fontId="58" fillId="0" borderId="4" xfId="0" applyFont="1" applyBorder="1" applyAlignment="1" applyProtection="1">
      <alignment horizontal="center" vertical="center" wrapText="1"/>
      <protection hidden="1"/>
    </xf>
    <xf numFmtId="0" fontId="58" fillId="0" borderId="5" xfId="0" applyFont="1" applyBorder="1" applyAlignment="1" applyProtection="1">
      <alignment horizontal="center" vertical="center" wrapText="1"/>
      <protection hidden="1"/>
    </xf>
    <xf numFmtId="9" fontId="59" fillId="0" borderId="4" xfId="0" applyNumberFormat="1" applyFont="1" applyBorder="1" applyAlignment="1" applyProtection="1">
      <alignment horizontal="center" vertical="center" wrapText="1"/>
      <protection hidden="1"/>
    </xf>
    <xf numFmtId="9" fontId="59" fillId="0" borderId="5" xfId="0" applyNumberFormat="1" applyFont="1" applyBorder="1" applyAlignment="1" applyProtection="1">
      <alignment horizontal="center" vertical="center" wrapText="1"/>
      <protection hidden="1"/>
    </xf>
    <xf numFmtId="0" fontId="1" fillId="3" borderId="169" xfId="0" applyFont="1" applyFill="1" applyBorder="1" applyAlignment="1" applyProtection="1">
      <alignment horizontal="center" vertical="center"/>
      <protection locked="0"/>
    </xf>
    <xf numFmtId="0" fontId="1" fillId="3" borderId="9" xfId="0" applyFont="1" applyFill="1" applyBorder="1" applyAlignment="1" applyProtection="1">
      <alignment horizontal="center" vertical="center"/>
      <protection locked="0"/>
    </xf>
    <xf numFmtId="0" fontId="1" fillId="3" borderId="163" xfId="0" applyFont="1" applyFill="1" applyBorder="1" applyAlignment="1" applyProtection="1">
      <alignment horizontal="center" vertical="center"/>
      <protection locked="0"/>
    </xf>
    <xf numFmtId="0" fontId="1" fillId="3" borderId="172" xfId="0" applyFont="1" applyFill="1" applyBorder="1" applyAlignment="1" applyProtection="1">
      <alignment horizontal="center" vertical="center"/>
      <protection locked="0"/>
    </xf>
    <xf numFmtId="0" fontId="1" fillId="3" borderId="160" xfId="0" applyFont="1" applyFill="1" applyBorder="1" applyAlignment="1" applyProtection="1">
      <alignment horizontal="center" vertical="center"/>
      <protection locked="0"/>
    </xf>
    <xf numFmtId="0" fontId="1" fillId="3" borderId="74" xfId="0" applyFont="1" applyFill="1" applyBorder="1" applyAlignment="1" applyProtection="1">
      <alignment horizontal="center" vertical="center"/>
      <protection locked="0"/>
    </xf>
    <xf numFmtId="0" fontId="1" fillId="3" borderId="170" xfId="0" applyFont="1" applyFill="1" applyBorder="1" applyAlignment="1" applyProtection="1">
      <alignment horizontal="center" vertical="center"/>
      <protection locked="0"/>
    </xf>
    <xf numFmtId="0" fontId="1" fillId="3" borderId="157" xfId="0" applyFont="1" applyFill="1" applyBorder="1" applyAlignment="1" applyProtection="1">
      <alignment horizontal="center" vertical="center"/>
      <protection locked="0"/>
    </xf>
    <xf numFmtId="0" fontId="1" fillId="3" borderId="168" xfId="0" applyFont="1" applyFill="1" applyBorder="1" applyAlignment="1" applyProtection="1">
      <alignment horizontal="center" vertical="center"/>
      <protection locked="0"/>
    </xf>
    <xf numFmtId="0" fontId="1" fillId="3" borderId="171" xfId="0" applyFont="1" applyFill="1" applyBorder="1" applyAlignment="1" applyProtection="1">
      <alignment horizontal="center" vertical="center"/>
      <protection locked="0"/>
    </xf>
    <xf numFmtId="0" fontId="1" fillId="3" borderId="159" xfId="0" applyFont="1" applyFill="1" applyBorder="1" applyAlignment="1" applyProtection="1">
      <alignment horizontal="center" vertical="center"/>
      <protection locked="0"/>
    </xf>
    <xf numFmtId="0" fontId="34" fillId="3" borderId="123" xfId="0" applyFont="1" applyFill="1" applyBorder="1" applyAlignment="1" applyProtection="1">
      <alignment horizontal="center" vertical="center" wrapText="1"/>
      <protection locked="0"/>
    </xf>
    <xf numFmtId="0" fontId="34" fillId="3" borderId="8" xfId="0" applyFont="1" applyFill="1" applyBorder="1" applyAlignment="1" applyProtection="1">
      <alignment horizontal="center" vertical="center" wrapText="1"/>
      <protection locked="0"/>
    </xf>
    <xf numFmtId="0" fontId="59" fillId="3" borderId="123" xfId="0" applyFont="1" applyFill="1" applyBorder="1" applyAlignment="1" applyProtection="1">
      <alignment horizontal="center" vertical="center"/>
      <protection locked="0"/>
    </xf>
    <xf numFmtId="0" fontId="59" fillId="3" borderId="8" xfId="0" applyFont="1" applyFill="1" applyBorder="1" applyAlignment="1" applyProtection="1">
      <alignment horizontal="center" vertical="center"/>
      <protection locked="0"/>
    </xf>
    <xf numFmtId="0" fontId="58" fillId="3" borderId="123" xfId="0" applyFont="1" applyFill="1" applyBorder="1" applyAlignment="1" applyProtection="1">
      <alignment horizontal="center" vertical="center" wrapText="1"/>
      <protection hidden="1"/>
    </xf>
    <xf numFmtId="0" fontId="58" fillId="3" borderId="138" xfId="0" applyFont="1" applyFill="1" applyBorder="1" applyAlignment="1" applyProtection="1">
      <alignment horizontal="center" vertical="center" wrapText="1"/>
      <protection hidden="1"/>
    </xf>
    <xf numFmtId="9" fontId="59" fillId="3" borderId="123" xfId="0" applyNumberFormat="1" applyFont="1" applyFill="1" applyBorder="1" applyAlignment="1" applyProtection="1">
      <alignment horizontal="center" vertical="center" wrapText="1"/>
      <protection hidden="1"/>
    </xf>
    <xf numFmtId="9" fontId="59" fillId="3" borderId="5" xfId="0" applyNumberFormat="1" applyFont="1" applyFill="1" applyBorder="1" applyAlignment="1" applyProtection="1">
      <alignment horizontal="center" vertical="center" wrapText="1"/>
      <protection hidden="1"/>
    </xf>
    <xf numFmtId="9" fontId="59" fillId="3" borderId="123" xfId="0" applyNumberFormat="1" applyFont="1" applyFill="1" applyBorder="1" applyAlignment="1" applyProtection="1">
      <alignment horizontal="center" vertical="center" wrapText="1"/>
      <protection locked="0"/>
    </xf>
    <xf numFmtId="9" fontId="59" fillId="3" borderId="5" xfId="0" applyNumberFormat="1" applyFont="1" applyFill="1" applyBorder="1" applyAlignment="1" applyProtection="1">
      <alignment horizontal="center" vertical="center" wrapText="1"/>
      <protection locked="0"/>
    </xf>
    <xf numFmtId="0" fontId="58" fillId="3" borderId="5" xfId="0" applyFont="1" applyFill="1" applyBorder="1" applyAlignment="1" applyProtection="1">
      <alignment horizontal="center" vertical="center" wrapText="1"/>
      <protection hidden="1"/>
    </xf>
    <xf numFmtId="0" fontId="58" fillId="3" borderId="123" xfId="0" applyFont="1" applyFill="1" applyBorder="1" applyAlignment="1" applyProtection="1">
      <alignment horizontal="center" vertical="center"/>
      <protection hidden="1"/>
    </xf>
    <xf numFmtId="0" fontId="58" fillId="3" borderId="5" xfId="0" applyFont="1" applyFill="1" applyBorder="1" applyAlignment="1" applyProtection="1">
      <alignment horizontal="center" vertical="center"/>
      <protection hidden="1"/>
    </xf>
    <xf numFmtId="0" fontId="1" fillId="3" borderId="4" xfId="0" applyFont="1" applyFill="1" applyBorder="1" applyAlignment="1" applyProtection="1">
      <alignment horizontal="center" vertical="center" wrapText="1"/>
      <protection locked="0"/>
    </xf>
    <xf numFmtId="0" fontId="1" fillId="3" borderId="129" xfId="0" applyFont="1" applyFill="1" applyBorder="1" applyAlignment="1" applyProtection="1">
      <alignment horizontal="center" vertical="center" wrapText="1"/>
      <protection locked="0"/>
    </xf>
    <xf numFmtId="0" fontId="1" fillId="3" borderId="123"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58" fillId="3" borderId="4" xfId="0" applyFont="1" applyFill="1" applyBorder="1" applyAlignment="1" applyProtection="1">
      <alignment horizontal="center" vertical="center"/>
      <protection hidden="1"/>
    </xf>
    <xf numFmtId="0" fontId="58" fillId="3" borderId="129" xfId="0" applyFont="1" applyFill="1" applyBorder="1" applyAlignment="1" applyProtection="1">
      <alignment horizontal="center" vertical="center"/>
      <protection hidden="1"/>
    </xf>
    <xf numFmtId="9" fontId="59" fillId="3" borderId="4" xfId="0" applyNumberFormat="1" applyFont="1" applyFill="1" applyBorder="1" applyAlignment="1" applyProtection="1">
      <alignment horizontal="center" vertical="center" wrapText="1"/>
      <protection hidden="1"/>
    </xf>
    <xf numFmtId="9" fontId="59" fillId="3" borderId="129" xfId="0" applyNumberFormat="1" applyFont="1" applyFill="1" applyBorder="1" applyAlignment="1" applyProtection="1">
      <alignment horizontal="center" vertical="center" wrapText="1"/>
      <protection hidden="1"/>
    </xf>
    <xf numFmtId="0" fontId="58" fillId="3" borderId="4" xfId="0" applyFont="1" applyFill="1" applyBorder="1" applyAlignment="1" applyProtection="1">
      <alignment horizontal="center" vertical="center" wrapText="1"/>
      <protection hidden="1"/>
    </xf>
    <xf numFmtId="0" fontId="58" fillId="3" borderId="129" xfId="0" applyFont="1" applyFill="1" applyBorder="1" applyAlignment="1" applyProtection="1">
      <alignment horizontal="center" vertical="center" wrapText="1"/>
      <protection hidden="1"/>
    </xf>
    <xf numFmtId="0" fontId="59" fillId="0" borderId="4" xfId="0" applyFont="1" applyBorder="1" applyAlignment="1">
      <alignment horizontal="center" vertical="center" wrapText="1"/>
    </xf>
    <xf numFmtId="0" fontId="59" fillId="0" borderId="129" xfId="0" applyFont="1" applyBorder="1" applyAlignment="1">
      <alignment horizontal="center" vertical="center" wrapText="1"/>
    </xf>
    <xf numFmtId="0" fontId="59" fillId="0" borderId="4" xfId="0" applyFont="1" applyBorder="1" applyAlignment="1" applyProtection="1">
      <alignment horizontal="center" vertical="center"/>
      <protection locked="0"/>
    </xf>
    <xf numFmtId="0" fontId="59" fillId="0" borderId="129" xfId="0" applyFont="1" applyBorder="1" applyAlignment="1" applyProtection="1">
      <alignment horizontal="center" vertical="center"/>
      <protection locked="0"/>
    </xf>
    <xf numFmtId="0" fontId="59" fillId="0" borderId="4" xfId="0" applyFont="1" applyBorder="1" applyAlignment="1" applyProtection="1">
      <alignment horizontal="center" vertical="center" wrapText="1"/>
      <protection locked="0"/>
    </xf>
    <xf numFmtId="0" fontId="59" fillId="0" borderId="129" xfId="0" applyFont="1" applyBorder="1" applyAlignment="1" applyProtection="1">
      <alignment horizontal="center" vertical="center" wrapText="1"/>
      <protection locked="0"/>
    </xf>
    <xf numFmtId="9" fontId="59" fillId="0" borderId="129" xfId="0" applyNumberFormat="1" applyFont="1" applyBorder="1" applyAlignment="1" applyProtection="1">
      <alignment horizontal="center" vertical="center" wrapText="1"/>
      <protection hidden="1"/>
    </xf>
    <xf numFmtId="9" fontId="59" fillId="0" borderId="8" xfId="0" applyNumberFormat="1" applyFont="1" applyBorder="1" applyAlignment="1" applyProtection="1">
      <alignment horizontal="center" vertical="center" wrapText="1"/>
      <protection locked="0"/>
    </xf>
    <xf numFmtId="9" fontId="59" fillId="0" borderId="129" xfId="0" applyNumberFormat="1" applyFont="1" applyBorder="1" applyAlignment="1" applyProtection="1">
      <alignment horizontal="center" vertical="center" wrapText="1"/>
      <protection locked="0"/>
    </xf>
    <xf numFmtId="0" fontId="58" fillId="0" borderId="123" xfId="0" applyFont="1" applyBorder="1" applyAlignment="1" applyProtection="1">
      <alignment horizontal="center" vertical="center" wrapText="1"/>
      <protection hidden="1"/>
    </xf>
    <xf numFmtId="0" fontId="59" fillId="0" borderId="123" xfId="0" applyFont="1" applyBorder="1" applyAlignment="1">
      <alignment horizontal="center" vertical="center" wrapText="1"/>
    </xf>
    <xf numFmtId="0" fontId="59" fillId="0" borderId="123" xfId="0" applyFont="1" applyBorder="1" applyAlignment="1" applyProtection="1">
      <alignment horizontal="center" vertical="center"/>
      <protection locked="0"/>
    </xf>
    <xf numFmtId="9" fontId="59" fillId="0" borderId="123" xfId="0" applyNumberFormat="1" applyFont="1" applyBorder="1" applyAlignment="1" applyProtection="1">
      <alignment horizontal="center" vertical="center" wrapText="1"/>
      <protection hidden="1"/>
    </xf>
    <xf numFmtId="9" fontId="59" fillId="0" borderId="123" xfId="0" applyNumberFormat="1" applyFont="1" applyBorder="1" applyAlignment="1" applyProtection="1">
      <alignment horizontal="center" vertical="center" wrapText="1"/>
      <protection locked="0"/>
    </xf>
    <xf numFmtId="0" fontId="59" fillId="0" borderId="8" xfId="0" applyFont="1" applyBorder="1" applyAlignment="1" applyProtection="1">
      <alignment horizontal="center" vertical="center" wrapText="1"/>
      <protection locked="0"/>
    </xf>
    <xf numFmtId="9" fontId="59" fillId="0" borderId="8" xfId="0" applyNumberFormat="1" applyFont="1" applyBorder="1" applyAlignment="1" applyProtection="1">
      <alignment horizontal="center" vertical="center" wrapText="1"/>
      <protection hidden="1"/>
    </xf>
    <xf numFmtId="9" fontId="59" fillId="0" borderId="5" xfId="0" applyNumberFormat="1" applyFont="1" applyBorder="1" applyAlignment="1" applyProtection="1">
      <alignment horizontal="center" vertical="center" wrapText="1"/>
      <protection locked="0"/>
    </xf>
    <xf numFmtId="0" fontId="58" fillId="0" borderId="8" xfId="0" applyFont="1" applyBorder="1" applyAlignment="1" applyProtection="1">
      <alignment horizontal="center" vertical="center" wrapText="1"/>
      <protection hidden="1"/>
    </xf>
    <xf numFmtId="0" fontId="58" fillId="0" borderId="4" xfId="0" applyFont="1" applyBorder="1" applyAlignment="1" applyProtection="1">
      <alignment horizontal="center" vertical="center"/>
      <protection hidden="1"/>
    </xf>
    <xf numFmtId="0" fontId="58" fillId="0" borderId="129" xfId="0" applyFont="1" applyBorder="1" applyAlignment="1" applyProtection="1">
      <alignment horizontal="center" vertical="center"/>
      <protection hidden="1"/>
    </xf>
    <xf numFmtId="0" fontId="58" fillId="0" borderId="5" xfId="0" applyFont="1" applyBorder="1" applyAlignment="1" applyProtection="1">
      <alignment horizontal="center" vertical="center"/>
      <protection hidden="1"/>
    </xf>
    <xf numFmtId="0" fontId="58" fillId="0" borderId="123" xfId="0" applyFont="1" applyBorder="1" applyAlignment="1" applyProtection="1">
      <alignment horizontal="center" vertical="center"/>
      <protection hidden="1"/>
    </xf>
    <xf numFmtId="0" fontId="59" fillId="0" borderId="123" xfId="0" applyFont="1" applyBorder="1" applyAlignment="1" applyProtection="1">
      <alignment horizontal="center" vertical="center" wrapText="1"/>
      <protection locked="0"/>
    </xf>
    <xf numFmtId="0" fontId="59" fillId="0" borderId="5" xfId="0" applyFont="1" applyBorder="1" applyAlignment="1" applyProtection="1">
      <alignment horizontal="center" vertical="center" wrapText="1"/>
      <protection locked="0"/>
    </xf>
    <xf numFmtId="0" fontId="59" fillId="0" borderId="29" xfId="0" applyFont="1" applyBorder="1" applyAlignment="1">
      <alignment horizontal="center" vertical="center"/>
    </xf>
    <xf numFmtId="0" fontId="59" fillId="0" borderId="74" xfId="0" applyFont="1" applyBorder="1" applyAlignment="1">
      <alignment horizontal="center" vertical="center"/>
    </xf>
    <xf numFmtId="0" fontId="58" fillId="3" borderId="134" xfId="0" applyFont="1" applyFill="1" applyBorder="1" applyAlignment="1">
      <alignment horizontal="center" vertical="center" textRotation="90"/>
    </xf>
    <xf numFmtId="0" fontId="58" fillId="3" borderId="78" xfId="0" applyFont="1" applyFill="1" applyBorder="1" applyAlignment="1">
      <alignment horizontal="center" vertical="center" textRotation="90"/>
    </xf>
    <xf numFmtId="0" fontId="58" fillId="3" borderId="131" xfId="0" applyFont="1" applyFill="1" applyBorder="1" applyAlignment="1">
      <alignment horizontal="center" vertical="center" textRotation="90"/>
    </xf>
    <xf numFmtId="0" fontId="58" fillId="3" borderId="134" xfId="0" applyFont="1" applyFill="1" applyBorder="1" applyAlignment="1">
      <alignment horizontal="center" vertical="center" textRotation="90" wrapText="1"/>
    </xf>
    <xf numFmtId="0" fontId="58" fillId="3" borderId="78" xfId="0" applyFont="1" applyFill="1" applyBorder="1" applyAlignment="1">
      <alignment horizontal="center" vertical="center" textRotation="90" wrapText="1"/>
    </xf>
    <xf numFmtId="0" fontId="58" fillId="3" borderId="131" xfId="0" applyFont="1" applyFill="1" applyBorder="1" applyAlignment="1">
      <alignment horizontal="center" vertical="center" textRotation="90" wrapText="1"/>
    </xf>
    <xf numFmtId="0" fontId="58" fillId="0" borderId="8" xfId="0" applyFont="1" applyBorder="1" applyAlignment="1" applyProtection="1">
      <alignment horizontal="center" vertical="center"/>
      <protection hidden="1"/>
    </xf>
    <xf numFmtId="0" fontId="79" fillId="0" borderId="4" xfId="0" applyFont="1" applyBorder="1" applyAlignment="1" applyProtection="1">
      <alignment horizontal="center" vertical="center" wrapText="1"/>
      <protection locked="0"/>
    </xf>
    <xf numFmtId="0" fontId="79" fillId="0" borderId="8" xfId="0" applyFont="1" applyBorder="1" applyAlignment="1" applyProtection="1">
      <alignment horizontal="center" vertical="center" wrapText="1"/>
      <protection locked="0"/>
    </xf>
    <xf numFmtId="0" fontId="79" fillId="0" borderId="5" xfId="0" applyFont="1" applyBorder="1" applyAlignment="1" applyProtection="1">
      <alignment horizontal="center" vertical="center" wrapText="1"/>
      <protection locked="0"/>
    </xf>
    <xf numFmtId="0" fontId="81" fillId="0" borderId="4" xfId="0" applyFont="1" applyBorder="1" applyAlignment="1" applyProtection="1">
      <alignment horizontal="center" vertical="center" wrapText="1"/>
      <protection locked="0"/>
    </xf>
    <xf numFmtId="0" fontId="81" fillId="0" borderId="8" xfId="0" applyFont="1" applyBorder="1" applyAlignment="1" applyProtection="1">
      <alignment horizontal="center" vertical="center" wrapText="1"/>
      <protection locked="0"/>
    </xf>
    <xf numFmtId="0" fontId="81" fillId="0" borderId="5" xfId="0" applyFont="1" applyBorder="1" applyAlignment="1" applyProtection="1">
      <alignment horizontal="center" vertical="center" wrapText="1"/>
      <protection locked="0"/>
    </xf>
    <xf numFmtId="0" fontId="80" fillId="0" borderId="4" xfId="0" applyFont="1" applyBorder="1" applyAlignment="1" applyProtection="1">
      <alignment horizontal="center" vertical="center"/>
      <protection hidden="1"/>
    </xf>
    <xf numFmtId="0" fontId="80" fillId="0" borderId="8" xfId="0" applyFont="1" applyBorder="1" applyAlignment="1" applyProtection="1">
      <alignment horizontal="center" vertical="center"/>
      <protection hidden="1"/>
    </xf>
    <xf numFmtId="0" fontId="80" fillId="0" borderId="4" xfId="0" applyFont="1" applyBorder="1" applyAlignment="1" applyProtection="1">
      <alignment horizontal="center" vertical="center" wrapText="1"/>
      <protection hidden="1"/>
    </xf>
    <xf numFmtId="0" fontId="80" fillId="0" borderId="8" xfId="0" applyFont="1" applyBorder="1" applyAlignment="1" applyProtection="1">
      <alignment horizontal="center" vertical="center" wrapText="1"/>
      <protection hidden="1"/>
    </xf>
    <xf numFmtId="9" fontId="76" fillId="0" borderId="4" xfId="0" applyNumberFormat="1" applyFont="1" applyBorder="1" applyAlignment="1" applyProtection="1">
      <alignment horizontal="center" vertical="center" wrapText="1"/>
      <protection hidden="1"/>
    </xf>
    <xf numFmtId="9" fontId="76" fillId="0" borderId="8" xfId="0" applyNumberFormat="1" applyFont="1" applyBorder="1" applyAlignment="1" applyProtection="1">
      <alignment horizontal="center" vertical="center" wrapText="1"/>
      <protection hidden="1"/>
    </xf>
    <xf numFmtId="9" fontId="79" fillId="0" borderId="4" xfId="0" applyNumberFormat="1" applyFont="1" applyBorder="1" applyAlignment="1" applyProtection="1">
      <alignment horizontal="center" vertical="center" wrapText="1"/>
      <protection locked="0"/>
    </xf>
    <xf numFmtId="9" fontId="79" fillId="0" borderId="8" xfId="0" applyNumberFormat="1" applyFont="1" applyBorder="1" applyAlignment="1" applyProtection="1">
      <alignment horizontal="center" vertical="center" wrapText="1"/>
      <protection locked="0"/>
    </xf>
    <xf numFmtId="9" fontId="1" fillId="0" borderId="4" xfId="0" applyNumberFormat="1" applyFont="1" applyBorder="1" applyAlignment="1" applyProtection="1">
      <alignment horizontal="center" vertical="center" wrapText="1"/>
      <protection hidden="1"/>
    </xf>
    <xf numFmtId="9" fontId="1" fillId="0" borderId="8" xfId="0" applyNumberFormat="1" applyFont="1" applyBorder="1" applyAlignment="1" applyProtection="1">
      <alignment horizontal="center" vertical="center" wrapText="1"/>
      <protection hidden="1"/>
    </xf>
    <xf numFmtId="0" fontId="59" fillId="0" borderId="114" xfId="0" applyFont="1" applyBorder="1" applyAlignment="1">
      <alignment horizontal="center" vertical="center"/>
    </xf>
    <xf numFmtId="0" fontId="59" fillId="0" borderId="135" xfId="0" applyFont="1" applyBorder="1" applyAlignment="1">
      <alignment horizontal="center" vertical="center"/>
    </xf>
    <xf numFmtId="0" fontId="58" fillId="0" borderId="129" xfId="0" applyFont="1" applyBorder="1" applyAlignment="1" applyProtection="1">
      <alignment horizontal="center" vertical="center" wrapText="1"/>
      <protection hidden="1"/>
    </xf>
    <xf numFmtId="0" fontId="58" fillId="0" borderId="112" xfId="0" applyFont="1" applyBorder="1" applyAlignment="1">
      <alignment horizontal="center" vertical="center" textRotation="90" wrapText="1"/>
    </xf>
    <xf numFmtId="0" fontId="58" fillId="0" borderId="76" xfId="0" applyFont="1" applyBorder="1" applyAlignment="1">
      <alignment horizontal="center" vertical="center" textRotation="90" wrapText="1"/>
    </xf>
    <xf numFmtId="0" fontId="58" fillId="3" borderId="79" xfId="0" applyFont="1" applyFill="1" applyBorder="1" applyAlignment="1">
      <alignment horizontal="center" vertical="center" textRotation="90"/>
    </xf>
    <xf numFmtId="0" fontId="58" fillId="3" borderId="75" xfId="0" applyFont="1" applyFill="1" applyBorder="1" applyAlignment="1">
      <alignment horizontal="center" vertical="center" textRotation="90"/>
    </xf>
    <xf numFmtId="0" fontId="59" fillId="0" borderId="31" xfId="0" applyFont="1" applyBorder="1" applyAlignment="1">
      <alignment horizontal="center" vertical="center"/>
    </xf>
    <xf numFmtId="0" fontId="59" fillId="0" borderId="109" xfId="0" applyFont="1" applyBorder="1" applyAlignment="1">
      <alignment horizontal="center" vertical="center" wrapText="1"/>
    </xf>
    <xf numFmtId="0" fontId="58" fillId="0" borderId="29" xfId="0" applyFont="1" applyBorder="1" applyAlignment="1">
      <alignment horizontal="center" vertical="center"/>
    </xf>
    <xf numFmtId="0" fontId="58" fillId="0" borderId="31" xfId="0" applyFont="1" applyBorder="1" applyAlignment="1">
      <alignment horizontal="center" vertical="center"/>
    </xf>
    <xf numFmtId="0" fontId="58" fillId="3" borderId="107" xfId="0" applyFont="1" applyFill="1" applyBorder="1" applyAlignment="1">
      <alignment horizontal="center" vertical="center" textRotation="90" wrapText="1"/>
    </xf>
    <xf numFmtId="0" fontId="58" fillId="3" borderId="79" xfId="0" applyFont="1" applyFill="1" applyBorder="1" applyAlignment="1">
      <alignment horizontal="center" vertical="center" textRotation="90" wrapText="1"/>
    </xf>
    <xf numFmtId="0" fontId="58" fillId="3" borderId="111" xfId="0" applyFont="1" applyFill="1" applyBorder="1" applyAlignment="1">
      <alignment horizontal="center" vertical="center" textRotation="90" wrapText="1"/>
    </xf>
    <xf numFmtId="0" fontId="58" fillId="3" borderId="107" xfId="0" applyFont="1" applyFill="1" applyBorder="1" applyAlignment="1">
      <alignment horizontal="center" vertical="center" textRotation="90"/>
    </xf>
    <xf numFmtId="0" fontId="58" fillId="3" borderId="111" xfId="0" applyFont="1" applyFill="1" applyBorder="1" applyAlignment="1">
      <alignment horizontal="center" vertical="center" textRotation="90"/>
    </xf>
    <xf numFmtId="0" fontId="58" fillId="3" borderId="76" xfId="0" applyFont="1" applyFill="1" applyBorder="1" applyAlignment="1">
      <alignment horizontal="center" vertical="center" textRotation="90"/>
    </xf>
    <xf numFmtId="0" fontId="58" fillId="3" borderId="77" xfId="0" applyFont="1" applyFill="1" applyBorder="1" applyAlignment="1">
      <alignment horizontal="center" vertical="center" textRotation="90"/>
    </xf>
    <xf numFmtId="0" fontId="58" fillId="3" borderId="75" xfId="0" applyFont="1" applyFill="1" applyBorder="1" applyAlignment="1">
      <alignment horizontal="center" vertical="center" textRotation="90" wrapText="1"/>
    </xf>
    <xf numFmtId="0" fontId="1" fillId="0" borderId="6" xfId="0" applyFont="1" applyBorder="1" applyAlignment="1">
      <alignment horizontal="left" vertical="center" wrapText="1"/>
    </xf>
    <xf numFmtId="0" fontId="1" fillId="0" borderId="10" xfId="0" applyFont="1" applyBorder="1" applyAlignment="1">
      <alignment horizontal="left" vertical="center" wrapText="1"/>
    </xf>
    <xf numFmtId="0" fontId="1" fillId="0" borderId="7" xfId="0" applyFont="1" applyBorder="1" applyAlignment="1">
      <alignment horizontal="left" vertical="center" wrapText="1"/>
    </xf>
    <xf numFmtId="0" fontId="69" fillId="0" borderId="34" xfId="0" applyFont="1" applyBorder="1" applyAlignment="1">
      <alignment horizontal="left"/>
    </xf>
    <xf numFmtId="0" fontId="70" fillId="0" borderId="35" xfId="0" applyFont="1" applyBorder="1" applyAlignment="1">
      <alignment horizontal="left"/>
    </xf>
    <xf numFmtId="0" fontId="70" fillId="0" borderId="46" xfId="0" applyFont="1" applyBorder="1" applyAlignment="1">
      <alignment horizontal="left"/>
    </xf>
    <xf numFmtId="0" fontId="58" fillId="2" borderId="30" xfId="0" applyFont="1" applyFill="1" applyBorder="1" applyAlignment="1">
      <alignment horizontal="center" vertical="center"/>
    </xf>
    <xf numFmtId="0" fontId="58" fillId="2" borderId="31" xfId="0" applyFont="1" applyFill="1" applyBorder="1" applyAlignment="1">
      <alignment horizontal="center" vertical="center"/>
    </xf>
    <xf numFmtId="0" fontId="58" fillId="2" borderId="3" xfId="0" applyFont="1" applyFill="1" applyBorder="1" applyAlignment="1">
      <alignment horizontal="center" vertical="center"/>
    </xf>
    <xf numFmtId="0" fontId="58" fillId="2" borderId="2" xfId="0" applyFont="1" applyFill="1" applyBorder="1" applyAlignment="1">
      <alignment horizontal="center" vertical="center" wrapText="1"/>
    </xf>
    <xf numFmtId="0" fontId="58" fillId="2" borderId="4" xfId="0" applyFont="1" applyFill="1" applyBorder="1" applyAlignment="1">
      <alignment horizontal="center" vertical="center" textRotation="90" wrapText="1"/>
    </xf>
    <xf numFmtId="0" fontId="58" fillId="2" borderId="5" xfId="0" applyFont="1" applyFill="1" applyBorder="1" applyAlignment="1">
      <alignment horizontal="center" vertical="center" textRotation="90" wrapText="1"/>
    </xf>
    <xf numFmtId="0" fontId="58" fillId="2" borderId="2" xfId="0" applyFont="1" applyFill="1" applyBorder="1" applyAlignment="1">
      <alignment horizontal="center" vertical="center" textRotation="90" wrapText="1"/>
    </xf>
    <xf numFmtId="0" fontId="58" fillId="2" borderId="93" xfId="0" applyFont="1" applyFill="1" applyBorder="1" applyAlignment="1">
      <alignment horizontal="center" vertical="center"/>
    </xf>
    <xf numFmtId="0" fontId="58" fillId="2" borderId="97" xfId="0" applyFont="1" applyFill="1" applyBorder="1" applyAlignment="1">
      <alignment horizontal="center" vertical="center" wrapText="1"/>
    </xf>
    <xf numFmtId="0" fontId="58" fillId="2" borderId="92" xfId="0" applyFont="1" applyFill="1" applyBorder="1" applyAlignment="1">
      <alignment horizontal="center" vertical="center" wrapText="1"/>
    </xf>
    <xf numFmtId="0" fontId="58" fillId="2" borderId="74" xfId="0" applyFont="1" applyFill="1" applyBorder="1" applyAlignment="1">
      <alignment horizontal="center" vertical="center" wrapText="1"/>
    </xf>
    <xf numFmtId="0" fontId="58" fillId="2" borderId="31" xfId="0" applyFont="1" applyFill="1" applyBorder="1" applyAlignment="1">
      <alignment horizontal="center" vertical="center" wrapText="1"/>
    </xf>
    <xf numFmtId="0" fontId="58" fillId="2" borderId="9" xfId="0" applyFont="1" applyFill="1" applyBorder="1" applyAlignment="1">
      <alignment horizontal="center" vertical="center"/>
    </xf>
    <xf numFmtId="0" fontId="58" fillId="2" borderId="9" xfId="0" applyFont="1" applyFill="1" applyBorder="1" applyAlignment="1">
      <alignment horizontal="center" vertical="center" wrapText="1"/>
    </xf>
    <xf numFmtId="0" fontId="59" fillId="0" borderId="109" xfId="0" applyFont="1" applyBorder="1" applyAlignment="1" applyProtection="1">
      <alignment horizontal="center" vertical="center"/>
      <protection locked="0"/>
    </xf>
    <xf numFmtId="9" fontId="59" fillId="0" borderId="4" xfId="0" applyNumberFormat="1" applyFont="1" applyBorder="1" applyAlignment="1" applyProtection="1">
      <alignment horizontal="center" vertical="center" wrapText="1"/>
      <protection locked="0"/>
    </xf>
    <xf numFmtId="1" fontId="59" fillId="0" borderId="4" xfId="0" applyNumberFormat="1" applyFont="1" applyBorder="1" applyAlignment="1">
      <alignment horizontal="center" vertical="center" wrapText="1"/>
    </xf>
    <xf numFmtId="1" fontId="59" fillId="0" borderId="8" xfId="0" applyNumberFormat="1" applyFont="1" applyBorder="1" applyAlignment="1">
      <alignment horizontal="center" vertical="center" wrapText="1"/>
    </xf>
    <xf numFmtId="1" fontId="59" fillId="0" borderId="5" xfId="0" applyNumberFormat="1" applyFont="1" applyBorder="1" applyAlignment="1">
      <alignment horizontal="center" vertical="center" wrapText="1"/>
    </xf>
    <xf numFmtId="0" fontId="58" fillId="2" borderId="0" xfId="0" applyFont="1" applyFill="1" applyAlignment="1">
      <alignment horizontal="center" vertical="center" wrapText="1"/>
    </xf>
    <xf numFmtId="0" fontId="58" fillId="2" borderId="83" xfId="0" applyFont="1" applyFill="1" applyBorder="1" applyAlignment="1">
      <alignment horizontal="center" vertical="center" wrapText="1"/>
    </xf>
    <xf numFmtId="0" fontId="58" fillId="2" borderId="4" xfId="0" applyFont="1" applyFill="1" applyBorder="1" applyAlignment="1">
      <alignment horizontal="center" vertical="center" wrapText="1"/>
    </xf>
    <xf numFmtId="0" fontId="58" fillId="2" borderId="5" xfId="0" applyFont="1" applyFill="1" applyBorder="1" applyAlignment="1">
      <alignment horizontal="center" vertical="center" wrapText="1"/>
    </xf>
    <xf numFmtId="0" fontId="58" fillId="2" borderId="30" xfId="0" applyFont="1" applyFill="1" applyBorder="1" applyAlignment="1">
      <alignment horizontal="center" vertical="center" wrapText="1"/>
    </xf>
    <xf numFmtId="0" fontId="58" fillId="2" borderId="94" xfId="0" applyFont="1" applyFill="1" applyBorder="1" applyAlignment="1">
      <alignment horizontal="center" vertical="center" wrapText="1"/>
    </xf>
    <xf numFmtId="0" fontId="58" fillId="3" borderId="8" xfId="0" applyFont="1" applyFill="1" applyBorder="1" applyAlignment="1" applyProtection="1">
      <alignment horizontal="center" vertical="center" wrapText="1"/>
      <protection hidden="1"/>
    </xf>
    <xf numFmtId="0" fontId="58" fillId="2" borderId="77" xfId="0" applyFont="1" applyFill="1" applyBorder="1" applyAlignment="1">
      <alignment horizontal="center" vertical="center"/>
    </xf>
    <xf numFmtId="0" fontId="58" fillId="2" borderId="83" xfId="0" applyFont="1" applyFill="1" applyBorder="1" applyAlignment="1">
      <alignment horizontal="center" vertical="center"/>
    </xf>
    <xf numFmtId="0" fontId="58" fillId="2" borderId="98" xfId="0" applyFont="1" applyFill="1" applyBorder="1" applyAlignment="1">
      <alignment horizontal="center" vertical="center"/>
    </xf>
    <xf numFmtId="0" fontId="58" fillId="2" borderId="78" xfId="0" applyFont="1" applyFill="1" applyBorder="1" applyAlignment="1">
      <alignment horizontal="center" vertical="center" textRotation="90"/>
    </xf>
    <xf numFmtId="0" fontId="58" fillId="2" borderId="79" xfId="0" applyFont="1" applyFill="1" applyBorder="1" applyAlignment="1">
      <alignment horizontal="center" vertical="center" textRotation="90"/>
    </xf>
    <xf numFmtId="0" fontId="58" fillId="2" borderId="74" xfId="0" applyFont="1" applyFill="1" applyBorder="1" applyAlignment="1">
      <alignment horizontal="center" vertical="center" textRotation="90"/>
    </xf>
    <xf numFmtId="0" fontId="58" fillId="2" borderId="91" xfId="0" applyFont="1" applyFill="1" applyBorder="1" applyAlignment="1">
      <alignment horizontal="center" vertical="center" textRotation="90"/>
    </xf>
    <xf numFmtId="0" fontId="58" fillId="2" borderId="95" xfId="0" applyFont="1" applyFill="1" applyBorder="1" applyAlignment="1">
      <alignment horizontal="center" vertical="center" textRotation="90"/>
    </xf>
    <xf numFmtId="0" fontId="58" fillId="2" borderId="82" xfId="0" applyFont="1" applyFill="1" applyBorder="1" applyAlignment="1">
      <alignment horizontal="center" vertical="center" textRotation="90"/>
    </xf>
    <xf numFmtId="0" fontId="58" fillId="2" borderId="96" xfId="0" applyFont="1" applyFill="1" applyBorder="1" applyAlignment="1">
      <alignment horizontal="center" vertical="center" textRotation="90"/>
    </xf>
    <xf numFmtId="0" fontId="58" fillId="2" borderId="81" xfId="0" applyFont="1" applyFill="1" applyBorder="1" applyAlignment="1">
      <alignment horizontal="center" vertical="center" textRotation="90"/>
    </xf>
    <xf numFmtId="0" fontId="58" fillId="2" borderId="8" xfId="0" applyFont="1" applyFill="1" applyBorder="1" applyAlignment="1">
      <alignment horizontal="center" vertical="center" textRotation="90"/>
    </xf>
    <xf numFmtId="0" fontId="58" fillId="2" borderId="80" xfId="0" applyFont="1" applyFill="1" applyBorder="1" applyAlignment="1">
      <alignment horizontal="center" vertical="center" textRotation="90"/>
    </xf>
    <xf numFmtId="0" fontId="57" fillId="3" borderId="86" xfId="0" applyFont="1" applyFill="1" applyBorder="1" applyAlignment="1">
      <alignment horizontal="center" vertical="center"/>
    </xf>
    <xf numFmtId="0" fontId="57" fillId="3" borderId="87" xfId="0" applyFont="1" applyFill="1" applyBorder="1" applyAlignment="1">
      <alignment horizontal="center" vertical="center"/>
    </xf>
    <xf numFmtId="0" fontId="57" fillId="3" borderId="88" xfId="0" applyFont="1" applyFill="1" applyBorder="1" applyAlignment="1">
      <alignment horizontal="center" vertical="center"/>
    </xf>
    <xf numFmtId="0" fontId="57" fillId="3" borderId="89" xfId="0" applyFont="1" applyFill="1" applyBorder="1" applyAlignment="1">
      <alignment horizontal="center" vertical="center"/>
    </xf>
    <xf numFmtId="0" fontId="57" fillId="3" borderId="0" xfId="0" applyFont="1" applyFill="1" applyAlignment="1">
      <alignment horizontal="center" vertical="center"/>
    </xf>
    <xf numFmtId="0" fontId="57" fillId="3" borderId="90" xfId="0" applyFont="1" applyFill="1" applyBorder="1" applyAlignment="1">
      <alignment horizontal="center" vertical="center"/>
    </xf>
    <xf numFmtId="0" fontId="60" fillId="3" borderId="99" xfId="0" applyFont="1" applyFill="1" applyBorder="1" applyAlignment="1">
      <alignment horizontal="center" vertical="center"/>
    </xf>
    <xf numFmtId="0" fontId="60" fillId="3" borderId="100" xfId="0" applyFont="1" applyFill="1" applyBorder="1" applyAlignment="1">
      <alignment horizontal="center" vertical="center"/>
    </xf>
    <xf numFmtId="0" fontId="60" fillId="3" borderId="101" xfId="0" applyFont="1" applyFill="1" applyBorder="1" applyAlignment="1">
      <alignment horizontal="center" vertical="center"/>
    </xf>
    <xf numFmtId="0" fontId="60" fillId="3" borderId="86" xfId="0" applyFont="1" applyFill="1" applyBorder="1" applyAlignment="1">
      <alignment horizontal="center" vertical="center"/>
    </xf>
    <xf numFmtId="0" fontId="60" fillId="3" borderId="87" xfId="0" applyFont="1" applyFill="1" applyBorder="1" applyAlignment="1">
      <alignment horizontal="center" vertical="center"/>
    </xf>
    <xf numFmtId="0" fontId="60" fillId="3" borderId="88" xfId="0" applyFont="1" applyFill="1" applyBorder="1" applyAlignment="1">
      <alignment horizontal="center" vertical="center"/>
    </xf>
    <xf numFmtId="0" fontId="58" fillId="2" borderId="6" xfId="0" applyFont="1" applyFill="1" applyBorder="1" applyAlignment="1">
      <alignment horizontal="center" vertical="center" wrapText="1"/>
    </xf>
    <xf numFmtId="0" fontId="58" fillId="2" borderId="10" xfId="0" applyFont="1" applyFill="1" applyBorder="1" applyAlignment="1">
      <alignment horizontal="center" vertical="center" wrapText="1"/>
    </xf>
    <xf numFmtId="0" fontId="58" fillId="2" borderId="102" xfId="0" applyFont="1" applyFill="1" applyBorder="1" applyAlignment="1">
      <alignment horizontal="center" vertical="center" wrapText="1"/>
    </xf>
    <xf numFmtId="0" fontId="58" fillId="2" borderId="77" xfId="0" applyFont="1" applyFill="1" applyBorder="1" applyAlignment="1">
      <alignment horizontal="center" vertical="center" wrapText="1"/>
    </xf>
    <xf numFmtId="0" fontId="58" fillId="2" borderId="3" xfId="0" applyFont="1" applyFill="1" applyBorder="1" applyAlignment="1">
      <alignment horizontal="center" vertical="center" wrapText="1"/>
    </xf>
    <xf numFmtId="0" fontId="58" fillId="2" borderId="103" xfId="0" applyFont="1" applyFill="1" applyBorder="1" applyAlignment="1">
      <alignment horizontal="center" vertical="center" wrapText="1"/>
    </xf>
    <xf numFmtId="0" fontId="58" fillId="2" borderId="28" xfId="0" applyFont="1" applyFill="1" applyBorder="1" applyAlignment="1">
      <alignment horizontal="center" vertical="center" wrapText="1"/>
    </xf>
    <xf numFmtId="0" fontId="58" fillId="2" borderId="29" xfId="0" applyFont="1" applyFill="1" applyBorder="1" applyAlignment="1">
      <alignment horizontal="center" vertical="center" wrapText="1"/>
    </xf>
    <xf numFmtId="0" fontId="58" fillId="2" borderId="104" xfId="0" applyFont="1" applyFill="1" applyBorder="1" applyAlignment="1">
      <alignment horizontal="center" vertical="center" wrapText="1"/>
    </xf>
    <xf numFmtId="0" fontId="1" fillId="0" borderId="86" xfId="0" applyFont="1" applyBorder="1" applyAlignment="1">
      <alignment horizontal="center"/>
    </xf>
    <xf numFmtId="0" fontId="1" fillId="0" borderId="87" xfId="0" applyFont="1" applyBorder="1" applyAlignment="1">
      <alignment horizontal="center"/>
    </xf>
    <xf numFmtId="0" fontId="1" fillId="0" borderId="88" xfId="0" applyFont="1" applyBorder="1" applyAlignment="1">
      <alignment horizontal="center"/>
    </xf>
    <xf numFmtId="0" fontId="1" fillId="0" borderId="89" xfId="0" applyFont="1" applyBorder="1" applyAlignment="1">
      <alignment horizontal="center"/>
    </xf>
    <xf numFmtId="0" fontId="1" fillId="0" borderId="0" xfId="0" applyFont="1" applyAlignment="1">
      <alignment horizontal="center"/>
    </xf>
    <xf numFmtId="0" fontId="1" fillId="0" borderId="90" xfId="0" applyFont="1" applyBorder="1" applyAlignment="1">
      <alignment horizontal="center"/>
    </xf>
    <xf numFmtId="0" fontId="58" fillId="0" borderId="84" xfId="0" applyFont="1" applyBorder="1" applyAlignment="1">
      <alignment horizontal="center" vertical="center" textRotation="90" wrapText="1"/>
    </xf>
    <xf numFmtId="0" fontId="58" fillId="0" borderId="85" xfId="0" applyFont="1" applyBorder="1" applyAlignment="1">
      <alignment horizontal="center" vertical="center" textRotation="90" wrapText="1"/>
    </xf>
    <xf numFmtId="9" fontId="79" fillId="0" borderId="4" xfId="0" applyNumberFormat="1" applyFont="1" applyBorder="1" applyAlignment="1" applyProtection="1">
      <alignment horizontal="center" vertical="center" wrapText="1"/>
      <protection hidden="1"/>
    </xf>
    <xf numFmtId="9" fontId="79" fillId="0" borderId="8" xfId="0" applyNumberFormat="1" applyFont="1" applyBorder="1" applyAlignment="1" applyProtection="1">
      <alignment horizontal="center" vertical="center" wrapText="1"/>
      <protection hidden="1"/>
    </xf>
    <xf numFmtId="0" fontId="58" fillId="0" borderId="120" xfId="0" applyFont="1" applyBorder="1" applyAlignment="1">
      <alignment horizontal="center" vertical="center" textRotation="90" wrapText="1"/>
    </xf>
    <xf numFmtId="0" fontId="58" fillId="0" borderId="126" xfId="0" applyFont="1" applyBorder="1" applyAlignment="1">
      <alignment horizontal="center" vertical="center" textRotation="90" wrapText="1"/>
    </xf>
    <xf numFmtId="0" fontId="58" fillId="0" borderId="119" xfId="0" applyFont="1" applyBorder="1" applyAlignment="1">
      <alignment horizontal="center" vertical="center" textRotation="90" wrapText="1"/>
    </xf>
    <xf numFmtId="0" fontId="58" fillId="0" borderId="136" xfId="0" applyFont="1" applyBorder="1" applyAlignment="1">
      <alignment horizontal="center" vertical="center" textRotation="90" wrapText="1"/>
    </xf>
    <xf numFmtId="0" fontId="58" fillId="0" borderId="125" xfId="0" applyFont="1" applyBorder="1" applyAlignment="1">
      <alignment horizontal="center" vertical="center" textRotation="90" wrapText="1"/>
    </xf>
    <xf numFmtId="0" fontId="58" fillId="0" borderId="121" xfId="0" applyFont="1" applyBorder="1" applyAlignment="1">
      <alignment horizontal="center" vertical="center" textRotation="90" wrapText="1"/>
    </xf>
    <xf numFmtId="0" fontId="58" fillId="0" borderId="137" xfId="0" applyFont="1" applyBorder="1" applyAlignment="1">
      <alignment horizontal="center" vertical="center" textRotation="90" wrapText="1"/>
    </xf>
    <xf numFmtId="0" fontId="58" fillId="0" borderId="127" xfId="0" applyFont="1" applyBorder="1" applyAlignment="1">
      <alignment horizontal="center" vertical="center" textRotation="90" wrapText="1"/>
    </xf>
    <xf numFmtId="0" fontId="1" fillId="0" borderId="29" xfId="0" applyFont="1" applyBorder="1" applyAlignment="1">
      <alignment horizontal="center" vertical="center"/>
    </xf>
    <xf numFmtId="0" fontId="1" fillId="0" borderId="74" xfId="0" applyFont="1" applyBorder="1" applyAlignment="1">
      <alignment horizontal="center" vertical="center"/>
    </xf>
    <xf numFmtId="0" fontId="1" fillId="0" borderId="31" xfId="0" applyFont="1" applyBorder="1" applyAlignment="1">
      <alignment horizontal="center" vertical="center"/>
    </xf>
    <xf numFmtId="0" fontId="78" fillId="0" borderId="8" xfId="0" applyFont="1" applyBorder="1" applyAlignment="1" applyProtection="1">
      <alignment horizontal="center" vertical="center"/>
      <protection locked="0"/>
    </xf>
    <xf numFmtId="0" fontId="58" fillId="3" borderId="112" xfId="0" applyFont="1" applyFill="1" applyBorder="1" applyAlignment="1">
      <alignment horizontal="center" vertical="center" textRotation="90"/>
    </xf>
    <xf numFmtId="0" fontId="59" fillId="0" borderId="108" xfId="0" applyFont="1" applyBorder="1" applyAlignment="1">
      <alignment horizontal="center" vertical="center"/>
    </xf>
    <xf numFmtId="0" fontId="59" fillId="0" borderId="96" xfId="0" applyFont="1" applyBorder="1" applyAlignment="1">
      <alignment horizontal="center" vertical="center"/>
    </xf>
    <xf numFmtId="0" fontId="59" fillId="0" borderId="110" xfId="0" applyFont="1" applyBorder="1" applyAlignment="1">
      <alignment horizontal="center" vertical="center"/>
    </xf>
    <xf numFmtId="0" fontId="59" fillId="0" borderId="122" xfId="0" applyFont="1" applyBorder="1" applyAlignment="1">
      <alignment horizontal="center" vertical="center"/>
    </xf>
    <xf numFmtId="0" fontId="58" fillId="3" borderId="84" xfId="0" applyFont="1" applyFill="1" applyBorder="1" applyAlignment="1">
      <alignment horizontal="center" vertical="center" textRotation="90" wrapText="1"/>
    </xf>
    <xf numFmtId="0" fontId="58" fillId="3" borderId="85" xfId="0" applyFont="1" applyFill="1" applyBorder="1" applyAlignment="1">
      <alignment horizontal="center" vertical="center" textRotation="90" wrapText="1"/>
    </xf>
    <xf numFmtId="0" fontId="58" fillId="3" borderId="98" xfId="0" applyFont="1" applyFill="1" applyBorder="1" applyAlignment="1">
      <alignment horizontal="center" vertical="center" textRotation="90" wrapText="1"/>
    </xf>
    <xf numFmtId="0" fontId="58" fillId="3" borderId="113" xfId="0" applyFont="1" applyFill="1" applyBorder="1" applyAlignment="1">
      <alignment horizontal="center" vertical="center" textRotation="90" wrapText="1"/>
    </xf>
    <xf numFmtId="0" fontId="58" fillId="3" borderId="113" xfId="0" applyFont="1" applyFill="1" applyBorder="1" applyAlignment="1">
      <alignment horizontal="center" vertical="center" textRotation="90"/>
    </xf>
    <xf numFmtId="0" fontId="58" fillId="0" borderId="74" xfId="0" applyFont="1" applyBorder="1" applyAlignment="1">
      <alignment horizontal="center" vertical="center"/>
    </xf>
    <xf numFmtId="0" fontId="58" fillId="0" borderId="114" xfId="0" applyFont="1" applyBorder="1" applyAlignment="1">
      <alignment horizontal="center" vertical="center"/>
    </xf>
    <xf numFmtId="0" fontId="58" fillId="0" borderId="96" xfId="0" applyFont="1" applyBorder="1" applyAlignment="1">
      <alignment horizontal="center" vertical="center"/>
    </xf>
    <xf numFmtId="0" fontId="58" fillId="0" borderId="110" xfId="0" applyFont="1" applyBorder="1" applyAlignment="1">
      <alignment horizontal="center" vertical="center"/>
    </xf>
    <xf numFmtId="0" fontId="59" fillId="3" borderId="4" xfId="0" applyFont="1" applyFill="1" applyBorder="1" applyAlignment="1" applyProtection="1">
      <alignment horizontal="center" vertical="center" wrapText="1"/>
      <protection locked="0"/>
    </xf>
    <xf numFmtId="0" fontId="59" fillId="3" borderId="129" xfId="0" applyFont="1" applyFill="1" applyBorder="1" applyAlignment="1" applyProtection="1">
      <alignment horizontal="center" vertical="center" wrapText="1"/>
      <protection locked="0"/>
    </xf>
    <xf numFmtId="0" fontId="59" fillId="3" borderId="8" xfId="0" applyFont="1" applyFill="1" applyBorder="1" applyAlignment="1" applyProtection="1">
      <alignment horizontal="center" vertical="center" wrapText="1"/>
      <protection locked="0"/>
    </xf>
    <xf numFmtId="0" fontId="59" fillId="3" borderId="114" xfId="0" applyFont="1" applyFill="1" applyBorder="1" applyAlignment="1">
      <alignment horizontal="center" vertical="center"/>
    </xf>
    <xf numFmtId="0" fontId="59" fillId="3" borderId="96" xfId="0" applyFont="1" applyFill="1" applyBorder="1" applyAlignment="1">
      <alignment horizontal="center" vertical="center"/>
    </xf>
    <xf numFmtId="0" fontId="59" fillId="3" borderId="76" xfId="0" applyFont="1" applyFill="1" applyBorder="1" applyAlignment="1">
      <alignment horizontal="center" vertical="center"/>
    </xf>
    <xf numFmtId="0" fontId="59" fillId="3" borderId="140" xfId="0" applyFont="1" applyFill="1" applyBorder="1" applyAlignment="1" applyProtection="1">
      <alignment horizontal="center" vertical="center" wrapText="1"/>
      <protection locked="0"/>
    </xf>
    <xf numFmtId="0" fontId="59" fillId="3" borderId="147" xfId="0" applyFont="1" applyFill="1" applyBorder="1" applyAlignment="1" applyProtection="1">
      <alignment horizontal="center" vertical="center" wrapText="1"/>
      <protection locked="0"/>
    </xf>
    <xf numFmtId="0" fontId="59" fillId="3" borderId="141" xfId="0" applyFont="1" applyFill="1" applyBorder="1" applyAlignment="1" applyProtection="1">
      <alignment horizontal="center" vertical="center" wrapText="1"/>
      <protection locked="0"/>
    </xf>
    <xf numFmtId="0" fontId="59" fillId="3" borderId="144" xfId="0" applyFont="1" applyFill="1" applyBorder="1" applyAlignment="1" applyProtection="1">
      <alignment horizontal="center" vertical="center" wrapText="1"/>
      <protection locked="0"/>
    </xf>
    <xf numFmtId="0" fontId="59" fillId="3" borderId="122" xfId="0" applyFont="1" applyFill="1" applyBorder="1" applyAlignment="1" applyProtection="1">
      <alignment horizontal="center" vertical="center" wrapText="1"/>
      <protection locked="0"/>
    </xf>
    <xf numFmtId="0" fontId="59" fillId="3" borderId="74" xfId="0" applyFont="1" applyFill="1" applyBorder="1" applyAlignment="1" applyProtection="1">
      <alignment horizontal="center" vertical="center" wrapText="1"/>
      <protection locked="0"/>
    </xf>
    <xf numFmtId="0" fontId="71" fillId="3" borderId="123" xfId="0" applyFont="1" applyFill="1" applyBorder="1" applyAlignment="1" applyProtection="1">
      <alignment horizontal="center" vertical="center" wrapText="1"/>
      <protection locked="0"/>
    </xf>
    <xf numFmtId="0" fontId="71" fillId="3" borderId="8" xfId="0" applyFont="1" applyFill="1" applyBorder="1" applyAlignment="1" applyProtection="1">
      <alignment horizontal="center" vertical="center" wrapText="1"/>
      <protection locked="0"/>
    </xf>
    <xf numFmtId="0" fontId="59" fillId="0" borderId="138" xfId="0" applyFont="1" applyBorder="1" applyAlignment="1" applyProtection="1">
      <alignment horizontal="center" vertical="center"/>
      <protection locked="0"/>
    </xf>
    <xf numFmtId="0" fontId="6" fillId="0" borderId="4" xfId="0" applyFont="1" applyBorder="1" applyAlignment="1" applyProtection="1">
      <alignment horizontal="center" vertical="center" wrapText="1"/>
      <protection locked="0"/>
    </xf>
    <xf numFmtId="0" fontId="6" fillId="0" borderId="8" xfId="0" applyFont="1" applyBorder="1" applyAlignment="1" applyProtection="1">
      <alignment horizontal="center" vertical="center" wrapText="1"/>
      <protection locked="0"/>
    </xf>
    <xf numFmtId="0" fontId="71" fillId="3" borderId="4" xfId="0" applyFont="1" applyFill="1" applyBorder="1" applyAlignment="1" applyProtection="1">
      <alignment horizontal="center" vertical="center" wrapText="1"/>
      <protection locked="0"/>
    </xf>
    <xf numFmtId="0" fontId="71" fillId="3" borderId="129" xfId="0" applyFont="1" applyFill="1" applyBorder="1" applyAlignment="1" applyProtection="1">
      <alignment horizontal="center" vertical="center" wrapText="1"/>
      <protection locked="0"/>
    </xf>
    <xf numFmtId="9" fontId="59" fillId="3" borderId="139" xfId="0" applyNumberFormat="1" applyFont="1" applyFill="1" applyBorder="1" applyAlignment="1" applyProtection="1">
      <alignment horizontal="center" vertical="center" wrapText="1"/>
      <protection locked="0"/>
    </xf>
    <xf numFmtId="9" fontId="59" fillId="3" borderId="129" xfId="0" applyNumberFormat="1" applyFont="1" applyFill="1" applyBorder="1" applyAlignment="1" applyProtection="1">
      <alignment horizontal="center" vertical="center" wrapText="1"/>
      <protection locked="0"/>
    </xf>
    <xf numFmtId="0" fontId="59" fillId="3" borderId="129" xfId="0" applyFont="1" applyFill="1" applyBorder="1" applyAlignment="1" applyProtection="1">
      <alignment horizontal="center" vertical="center"/>
      <protection locked="0"/>
    </xf>
    <xf numFmtId="0" fontId="34" fillId="3" borderId="4" xfId="0" applyFont="1" applyFill="1" applyBorder="1" applyAlignment="1" applyProtection="1">
      <alignment horizontal="center" vertical="center" wrapText="1"/>
      <protection locked="0"/>
    </xf>
    <xf numFmtId="0" fontId="34" fillId="3" borderId="129" xfId="0" applyFont="1" applyFill="1" applyBorder="1" applyAlignment="1" applyProtection="1">
      <alignment horizontal="center" vertical="center" wrapText="1"/>
      <protection locked="0"/>
    </xf>
    <xf numFmtId="0" fontId="58" fillId="3" borderId="120" xfId="0" applyFont="1" applyFill="1" applyBorder="1" applyAlignment="1">
      <alignment horizontal="center" vertical="center" textRotation="90"/>
    </xf>
    <xf numFmtId="0" fontId="58" fillId="3" borderId="126" xfId="0" applyFont="1" applyFill="1" applyBorder="1" applyAlignment="1">
      <alignment horizontal="center" vertical="center" textRotation="90"/>
    </xf>
    <xf numFmtId="0" fontId="58" fillId="3" borderId="132" xfId="0" applyFont="1" applyFill="1" applyBorder="1" applyAlignment="1">
      <alignment horizontal="center" vertical="center" textRotation="90" wrapText="1"/>
    </xf>
    <xf numFmtId="0" fontId="58" fillId="3" borderId="133" xfId="0" applyFont="1" applyFill="1" applyBorder="1" applyAlignment="1">
      <alignment horizontal="center" vertical="center" textRotation="90" wrapText="1"/>
    </xf>
    <xf numFmtId="0" fontId="58" fillId="3" borderId="133" xfId="0" applyFont="1" applyFill="1" applyBorder="1" applyAlignment="1">
      <alignment horizontal="center" vertical="center" textRotation="90"/>
    </xf>
    <xf numFmtId="0" fontId="58" fillId="3" borderId="132" xfId="0" applyFont="1" applyFill="1" applyBorder="1" applyAlignment="1">
      <alignment horizontal="center" vertical="center" textRotation="90"/>
    </xf>
    <xf numFmtId="0" fontId="75" fillId="0" borderId="29" xfId="0" applyFont="1" applyBorder="1" applyAlignment="1">
      <alignment horizontal="center" vertical="center"/>
    </xf>
    <xf numFmtId="0" fontId="75" fillId="0" borderId="74" xfId="0" applyFont="1" applyBorder="1" applyAlignment="1">
      <alignment horizontal="center" vertical="center"/>
    </xf>
    <xf numFmtId="0" fontId="75" fillId="0" borderId="128" xfId="0" applyFont="1" applyBorder="1" applyAlignment="1">
      <alignment horizontal="center" vertical="center"/>
    </xf>
    <xf numFmtId="0" fontId="59" fillId="0" borderId="128" xfId="0" applyFont="1" applyBorder="1" applyAlignment="1">
      <alignment horizontal="center" vertical="center"/>
    </xf>
    <xf numFmtId="9" fontId="1" fillId="0" borderId="123" xfId="0" applyNumberFormat="1" applyFont="1" applyBorder="1" applyAlignment="1" applyProtection="1">
      <alignment horizontal="center" vertical="center" wrapText="1"/>
      <protection locked="0"/>
    </xf>
    <xf numFmtId="9" fontId="1" fillId="0" borderId="8" xfId="0" applyNumberFormat="1" applyFont="1" applyBorder="1" applyAlignment="1" applyProtection="1">
      <alignment horizontal="center" vertical="center" wrapText="1"/>
      <protection locked="0"/>
    </xf>
    <xf numFmtId="0" fontId="4" fillId="0" borderId="123"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9" fontId="1" fillId="0" borderId="123" xfId="0" applyNumberFormat="1" applyFont="1" applyBorder="1" applyAlignment="1" applyProtection="1">
      <alignment horizontal="center" vertical="center" wrapText="1"/>
      <protection hidden="1"/>
    </xf>
    <xf numFmtId="0" fontId="4" fillId="0" borderId="123" xfId="0" applyFont="1" applyBorder="1" applyAlignment="1" applyProtection="1">
      <alignment horizontal="center" vertical="center"/>
      <protection hidden="1"/>
    </xf>
    <xf numFmtId="0" fontId="4" fillId="0" borderId="8" xfId="0" applyFont="1" applyBorder="1" applyAlignment="1" applyProtection="1">
      <alignment horizontal="center" vertical="center"/>
      <protection hidden="1"/>
    </xf>
    <xf numFmtId="0" fontId="1" fillId="0" borderId="8" xfId="0" applyFont="1" applyBorder="1" applyAlignment="1" applyProtection="1">
      <alignment horizontal="center" vertical="center"/>
      <protection locked="0"/>
    </xf>
    <xf numFmtId="0" fontId="1" fillId="0" borderId="129" xfId="0" applyFont="1" applyBorder="1" applyAlignment="1" applyProtection="1">
      <alignment horizontal="center" vertical="center"/>
      <protection locked="0"/>
    </xf>
    <xf numFmtId="0" fontId="4" fillId="0" borderId="4" xfId="0" applyFont="1" applyBorder="1" applyAlignment="1" applyProtection="1">
      <alignment horizontal="center" vertical="center" wrapText="1"/>
      <protection hidden="1"/>
    </xf>
    <xf numFmtId="0" fontId="4" fillId="0" borderId="129" xfId="0" applyFont="1" applyBorder="1" applyAlignment="1" applyProtection="1">
      <alignment horizontal="center" vertical="center" wrapText="1"/>
      <protection hidden="1"/>
    </xf>
    <xf numFmtId="9" fontId="1" fillId="0" borderId="129" xfId="0" applyNumberFormat="1" applyFont="1" applyBorder="1" applyAlignment="1" applyProtection="1">
      <alignment horizontal="center" vertical="center" wrapText="1"/>
      <protection hidden="1"/>
    </xf>
    <xf numFmtId="9" fontId="1" fillId="0" borderId="4" xfId="0" applyNumberFormat="1" applyFont="1" applyBorder="1" applyAlignment="1" applyProtection="1">
      <alignment horizontal="center" vertical="center" wrapText="1"/>
      <protection locked="0"/>
    </xf>
    <xf numFmtId="9" fontId="1" fillId="0" borderId="129" xfId="0" applyNumberFormat="1" applyFont="1" applyBorder="1" applyAlignment="1" applyProtection="1">
      <alignment horizontal="center" vertical="center" wrapText="1"/>
      <protection locked="0"/>
    </xf>
    <xf numFmtId="0" fontId="4" fillId="0" borderId="4" xfId="0" applyFont="1" applyBorder="1" applyAlignment="1" applyProtection="1">
      <alignment horizontal="center" vertical="center"/>
      <protection hidden="1"/>
    </xf>
    <xf numFmtId="0" fontId="4" fillId="0" borderId="129" xfId="0" applyFont="1" applyBorder="1" applyAlignment="1" applyProtection="1">
      <alignment horizontal="center" vertical="center"/>
      <protection hidden="1"/>
    </xf>
    <xf numFmtId="0" fontId="1" fillId="0" borderId="123" xfId="0" applyFont="1" applyBorder="1" applyAlignment="1" applyProtection="1">
      <alignment horizontal="center" vertical="center"/>
      <protection locked="0"/>
    </xf>
    <xf numFmtId="0" fontId="59" fillId="0" borderId="140" xfId="0" applyFont="1" applyBorder="1" applyAlignment="1" applyProtection="1">
      <alignment horizontal="center" vertical="center"/>
      <protection locked="0"/>
    </xf>
    <xf numFmtId="0" fontId="59" fillId="0" borderId="142" xfId="0" applyFont="1" applyBorder="1" applyAlignment="1" applyProtection="1">
      <alignment horizontal="center" vertical="center"/>
      <protection locked="0"/>
    </xf>
    <xf numFmtId="0" fontId="59" fillId="0" borderId="169" xfId="0" applyFont="1" applyBorder="1" applyAlignment="1" applyProtection="1">
      <alignment horizontal="center" vertical="center"/>
      <protection locked="0"/>
    </xf>
    <xf numFmtId="0" fontId="59" fillId="0" borderId="9" xfId="0" applyFont="1" applyBorder="1" applyAlignment="1" applyProtection="1">
      <alignment horizontal="center" vertical="center"/>
      <protection locked="0"/>
    </xf>
    <xf numFmtId="0" fontId="59" fillId="0" borderId="163" xfId="0" applyFont="1" applyBorder="1" applyAlignment="1" applyProtection="1">
      <alignment horizontal="center" vertical="center"/>
      <protection locked="0"/>
    </xf>
    <xf numFmtId="0" fontId="59" fillId="0" borderId="168" xfId="0" applyFont="1" applyBorder="1" applyAlignment="1" applyProtection="1">
      <alignment horizontal="center" vertical="center"/>
      <protection locked="0"/>
    </xf>
    <xf numFmtId="9" fontId="71" fillId="0" borderId="118" xfId="0" applyNumberFormat="1" applyFont="1" applyBorder="1" applyAlignment="1" applyProtection="1">
      <alignment horizontal="center" vertical="center" wrapText="1"/>
      <protection locked="0"/>
    </xf>
    <xf numFmtId="9" fontId="71" fillId="0" borderId="8" xfId="0" applyNumberFormat="1" applyFont="1" applyBorder="1" applyAlignment="1" applyProtection="1">
      <alignment horizontal="center" vertical="center" wrapText="1"/>
      <protection locked="0"/>
    </xf>
    <xf numFmtId="0" fontId="18" fillId="10" borderId="0" xfId="0" applyFont="1" applyFill="1" applyAlignment="1">
      <alignment horizontal="center" vertical="center" textRotation="90" wrapText="1" readingOrder="1"/>
    </xf>
    <xf numFmtId="0" fontId="18" fillId="10" borderId="15" xfId="0" applyFont="1" applyFill="1" applyBorder="1" applyAlignment="1">
      <alignment horizontal="center" vertical="center" textRotation="90" wrapText="1" readingOrder="1"/>
    </xf>
    <xf numFmtId="0" fontId="21" fillId="12" borderId="20" xfId="0" applyFont="1" applyFill="1" applyBorder="1" applyAlignment="1">
      <alignment horizontal="center" vertical="center" wrapText="1" readingOrder="1"/>
    </xf>
    <xf numFmtId="0" fontId="21" fillId="12" borderId="21" xfId="0" applyFont="1" applyFill="1" applyBorder="1" applyAlignment="1">
      <alignment horizontal="center" vertical="center" wrapText="1" readingOrder="1"/>
    </xf>
    <xf numFmtId="0" fontId="21" fillId="12" borderId="22" xfId="0" applyFont="1" applyFill="1" applyBorder="1" applyAlignment="1">
      <alignment horizontal="center" vertical="center" wrapText="1" readingOrder="1"/>
    </xf>
    <xf numFmtId="0" fontId="21" fillId="12" borderId="23" xfId="0" applyFont="1" applyFill="1" applyBorder="1" applyAlignment="1">
      <alignment horizontal="center" vertical="center" wrapText="1" readingOrder="1"/>
    </xf>
    <xf numFmtId="0" fontId="21" fillId="12" borderId="0" xfId="0" applyFont="1" applyFill="1" applyAlignment="1">
      <alignment horizontal="center" vertical="center" wrapText="1" readingOrder="1"/>
    </xf>
    <xf numFmtId="0" fontId="21" fillId="12" borderId="24" xfId="0" applyFont="1" applyFill="1" applyBorder="1" applyAlignment="1">
      <alignment horizontal="center" vertical="center" wrapText="1" readingOrder="1"/>
    </xf>
    <xf numFmtId="0" fontId="21" fillId="12" borderId="25" xfId="0" applyFont="1" applyFill="1" applyBorder="1" applyAlignment="1">
      <alignment horizontal="center" vertical="center" wrapText="1" readingOrder="1"/>
    </xf>
    <xf numFmtId="0" fontId="21" fillId="12" borderId="26" xfId="0" applyFont="1" applyFill="1" applyBorder="1" applyAlignment="1">
      <alignment horizontal="center" vertical="center" wrapText="1" readingOrder="1"/>
    </xf>
    <xf numFmtId="0" fontId="21" fillId="12" borderId="27" xfId="0" applyFont="1" applyFill="1" applyBorder="1" applyAlignment="1">
      <alignment horizontal="center" vertical="center" wrapText="1" readingOrder="1"/>
    </xf>
    <xf numFmtId="0" fontId="21" fillId="11" borderId="20" xfId="0" applyFont="1" applyFill="1" applyBorder="1" applyAlignment="1">
      <alignment horizontal="center" vertical="center" wrapText="1" readingOrder="1"/>
    </xf>
    <xf numFmtId="0" fontId="21" fillId="11" borderId="21" xfId="0" applyFont="1" applyFill="1" applyBorder="1" applyAlignment="1">
      <alignment horizontal="center" vertical="center" wrapText="1" readingOrder="1"/>
    </xf>
    <xf numFmtId="0" fontId="21" fillId="11" borderId="22" xfId="0" applyFont="1" applyFill="1" applyBorder="1" applyAlignment="1">
      <alignment horizontal="center" vertical="center" wrapText="1" readingOrder="1"/>
    </xf>
    <xf numFmtId="0" fontId="21" fillId="11" borderId="23" xfId="0" applyFont="1" applyFill="1" applyBorder="1" applyAlignment="1">
      <alignment horizontal="center" vertical="center" wrapText="1" readingOrder="1"/>
    </xf>
    <xf numFmtId="0" fontId="21" fillId="11" borderId="0" xfId="0" applyFont="1" applyFill="1" applyAlignment="1">
      <alignment horizontal="center" vertical="center" wrapText="1" readingOrder="1"/>
    </xf>
    <xf numFmtId="0" fontId="21" fillId="11" borderId="24" xfId="0" applyFont="1" applyFill="1" applyBorder="1" applyAlignment="1">
      <alignment horizontal="center" vertical="center" wrapText="1" readingOrder="1"/>
    </xf>
    <xf numFmtId="0" fontId="21" fillId="11" borderId="25" xfId="0" applyFont="1" applyFill="1" applyBorder="1" applyAlignment="1">
      <alignment horizontal="center" vertical="center" wrapText="1" readingOrder="1"/>
    </xf>
    <xf numFmtId="0" fontId="21" fillId="11" borderId="26" xfId="0" applyFont="1" applyFill="1" applyBorder="1" applyAlignment="1">
      <alignment horizontal="center" vertical="center" wrapText="1" readingOrder="1"/>
    </xf>
    <xf numFmtId="0" fontId="21" fillId="11" borderId="27" xfId="0" applyFont="1" applyFill="1" applyBorder="1" applyAlignment="1">
      <alignment horizontal="center" vertical="center" wrapText="1" readingOrder="1"/>
    </xf>
    <xf numFmtId="0" fontId="21" fillId="13" borderId="20" xfId="0" applyFont="1" applyFill="1" applyBorder="1" applyAlignment="1">
      <alignment horizontal="center" vertical="center" wrapText="1" readingOrder="1"/>
    </xf>
    <xf numFmtId="0" fontId="21" fillId="13" borderId="21" xfId="0" applyFont="1" applyFill="1" applyBorder="1" applyAlignment="1">
      <alignment horizontal="center" vertical="center" wrapText="1" readingOrder="1"/>
    </xf>
    <xf numFmtId="0" fontId="21" fillId="13" borderId="22" xfId="0" applyFont="1" applyFill="1" applyBorder="1" applyAlignment="1">
      <alignment horizontal="center" vertical="center" wrapText="1" readingOrder="1"/>
    </xf>
    <xf numFmtId="0" fontId="21" fillId="13" borderId="23" xfId="0" applyFont="1" applyFill="1" applyBorder="1" applyAlignment="1">
      <alignment horizontal="center" vertical="center" wrapText="1" readingOrder="1"/>
    </xf>
    <xf numFmtId="0" fontId="21" fillId="13" borderId="0" xfId="0" applyFont="1" applyFill="1" applyAlignment="1">
      <alignment horizontal="center" vertical="center" wrapText="1" readingOrder="1"/>
    </xf>
    <xf numFmtId="0" fontId="21" fillId="13" borderId="24" xfId="0" applyFont="1" applyFill="1" applyBorder="1" applyAlignment="1">
      <alignment horizontal="center" vertical="center" wrapText="1" readingOrder="1"/>
    </xf>
    <xf numFmtId="0" fontId="21" fillId="13" borderId="25" xfId="0" applyFont="1" applyFill="1" applyBorder="1" applyAlignment="1">
      <alignment horizontal="center" vertical="center" wrapText="1" readingOrder="1"/>
    </xf>
    <xf numFmtId="0" fontId="21" fillId="13" borderId="26" xfId="0" applyFont="1" applyFill="1" applyBorder="1" applyAlignment="1">
      <alignment horizontal="center" vertical="center" wrapText="1" readingOrder="1"/>
    </xf>
    <xf numFmtId="0" fontId="21" fillId="13" borderId="27" xfId="0" applyFont="1" applyFill="1" applyBorder="1" applyAlignment="1">
      <alignment horizontal="center" vertical="center" wrapText="1" readingOrder="1"/>
    </xf>
    <xf numFmtId="0" fontId="21" fillId="5" borderId="20" xfId="0" applyFont="1" applyFill="1" applyBorder="1" applyAlignment="1">
      <alignment horizontal="center" vertical="center" wrapText="1" readingOrder="1"/>
    </xf>
    <xf numFmtId="0" fontId="21" fillId="5" borderId="21" xfId="0" applyFont="1" applyFill="1" applyBorder="1" applyAlignment="1">
      <alignment horizontal="center" vertical="center" wrapText="1" readingOrder="1"/>
    </xf>
    <xf numFmtId="0" fontId="21" fillId="5" borderId="22" xfId="0" applyFont="1" applyFill="1" applyBorder="1" applyAlignment="1">
      <alignment horizontal="center" vertical="center" wrapText="1" readingOrder="1"/>
    </xf>
    <xf numFmtId="0" fontId="21" fillId="5" borderId="23" xfId="0" applyFont="1" applyFill="1" applyBorder="1" applyAlignment="1">
      <alignment horizontal="center" vertical="center" wrapText="1" readingOrder="1"/>
    </xf>
    <xf numFmtId="0" fontId="21" fillId="5" borderId="0" xfId="0" applyFont="1" applyFill="1" applyAlignment="1">
      <alignment horizontal="center" vertical="center" wrapText="1" readingOrder="1"/>
    </xf>
    <xf numFmtId="0" fontId="21" fillId="5" borderId="24" xfId="0" applyFont="1" applyFill="1" applyBorder="1" applyAlignment="1">
      <alignment horizontal="center" vertical="center" wrapText="1" readingOrder="1"/>
    </xf>
    <xf numFmtId="0" fontId="21" fillId="5" borderId="25" xfId="0" applyFont="1" applyFill="1" applyBorder="1" applyAlignment="1">
      <alignment horizontal="center" vertical="center" wrapText="1" readingOrder="1"/>
    </xf>
    <xf numFmtId="0" fontId="21" fillId="5" borderId="26" xfId="0" applyFont="1" applyFill="1" applyBorder="1" applyAlignment="1">
      <alignment horizontal="center" vertical="center" wrapText="1" readingOrder="1"/>
    </xf>
    <xf numFmtId="0" fontId="21" fillId="5" borderId="27" xfId="0" applyFont="1" applyFill="1" applyBorder="1" applyAlignment="1">
      <alignment horizontal="center" vertical="center" wrapText="1" readingOrder="1"/>
    </xf>
    <xf numFmtId="0" fontId="17" fillId="0" borderId="12" xfId="0" applyFont="1" applyBorder="1" applyAlignment="1">
      <alignment horizontal="center" vertical="center" wrapText="1"/>
    </xf>
    <xf numFmtId="0" fontId="17" fillId="0" borderId="19" xfId="0" applyFont="1" applyBorder="1" applyAlignment="1">
      <alignment horizontal="center" vertical="center"/>
    </xf>
    <xf numFmtId="0" fontId="17" fillId="0" borderId="13" xfId="0" applyFont="1" applyBorder="1" applyAlignment="1">
      <alignment horizontal="center" vertical="center"/>
    </xf>
    <xf numFmtId="0" fontId="17" fillId="0" borderId="14" xfId="0" applyFont="1" applyBorder="1" applyAlignment="1">
      <alignment horizontal="center" vertical="center"/>
    </xf>
    <xf numFmtId="0" fontId="17" fillId="0" borderId="0" xfId="0" applyFont="1" applyAlignment="1">
      <alignment horizontal="center" vertical="center"/>
    </xf>
    <xf numFmtId="0" fontId="17" fillId="0" borderId="15" xfId="0" applyFont="1" applyBorder="1" applyAlignment="1">
      <alignment horizontal="center" vertical="center"/>
    </xf>
    <xf numFmtId="0" fontId="17" fillId="0" borderId="16" xfId="0" applyFont="1" applyBorder="1" applyAlignment="1">
      <alignment horizontal="center" vertical="center"/>
    </xf>
    <xf numFmtId="0" fontId="17" fillId="0" borderId="18" xfId="0" applyFont="1" applyBorder="1" applyAlignment="1">
      <alignment horizontal="center" vertical="center"/>
    </xf>
    <xf numFmtId="0" fontId="17" fillId="0" borderId="17" xfId="0" applyFont="1" applyBorder="1" applyAlignment="1">
      <alignment horizontal="center" vertical="center"/>
    </xf>
    <xf numFmtId="0" fontId="20" fillId="11" borderId="0" xfId="0" applyFont="1" applyFill="1" applyAlignment="1" applyProtection="1">
      <alignment horizontal="center" vertical="center" wrapText="1" readingOrder="1"/>
      <protection hidden="1"/>
    </xf>
    <xf numFmtId="0" fontId="20" fillId="11" borderId="15" xfId="0" applyFont="1" applyFill="1" applyBorder="1" applyAlignment="1" applyProtection="1">
      <alignment horizontal="center" vertical="center" wrapText="1" readingOrder="1"/>
      <protection hidden="1"/>
    </xf>
    <xf numFmtId="0" fontId="20" fillId="11" borderId="12" xfId="0" applyFont="1" applyFill="1" applyBorder="1" applyAlignment="1" applyProtection="1">
      <alignment horizontal="center" vertical="center" wrapText="1" readingOrder="1"/>
      <protection hidden="1"/>
    </xf>
    <xf numFmtId="0" fontId="20" fillId="11" borderId="19" xfId="0" applyFont="1" applyFill="1" applyBorder="1" applyAlignment="1" applyProtection="1">
      <alignment horizontal="center" vertical="center" wrapText="1" readingOrder="1"/>
      <protection hidden="1"/>
    </xf>
    <xf numFmtId="0" fontId="20" fillId="11" borderId="14" xfId="0" applyFont="1" applyFill="1" applyBorder="1" applyAlignment="1" applyProtection="1">
      <alignment horizontal="center" vertical="center" wrapText="1" readingOrder="1"/>
      <protection hidden="1"/>
    </xf>
    <xf numFmtId="0" fontId="20" fillId="11" borderId="13" xfId="0" applyFont="1" applyFill="1" applyBorder="1" applyAlignment="1" applyProtection="1">
      <alignment horizontal="center" vertical="center" wrapText="1" readingOrder="1"/>
      <protection hidden="1"/>
    </xf>
    <xf numFmtId="0" fontId="18" fillId="10" borderId="0" xfId="0" applyFont="1" applyFill="1" applyAlignment="1">
      <alignment horizontal="center" vertical="center" wrapText="1" readingOrder="1"/>
    </xf>
    <xf numFmtId="0" fontId="17" fillId="0" borderId="19" xfId="0" applyFont="1" applyBorder="1" applyAlignment="1">
      <alignment horizontal="center" vertical="center" wrapText="1"/>
    </xf>
    <xf numFmtId="0" fontId="20" fillId="11" borderId="16" xfId="0" applyFont="1" applyFill="1" applyBorder="1" applyAlignment="1" applyProtection="1">
      <alignment horizontal="center" vertical="center" wrapText="1" readingOrder="1"/>
      <protection hidden="1"/>
    </xf>
    <xf numFmtId="0" fontId="20" fillId="11" borderId="18" xfId="0" applyFont="1" applyFill="1" applyBorder="1" applyAlignment="1" applyProtection="1">
      <alignment horizontal="center" vertical="center" wrapText="1" readingOrder="1"/>
      <protection hidden="1"/>
    </xf>
    <xf numFmtId="0" fontId="20" fillId="11" borderId="17" xfId="0" applyFont="1" applyFill="1" applyBorder="1" applyAlignment="1" applyProtection="1">
      <alignment horizontal="center" vertical="center" wrapText="1" readingOrder="1"/>
      <protection hidden="1"/>
    </xf>
    <xf numFmtId="0" fontId="20" fillId="12" borderId="14" xfId="0" applyFont="1" applyFill="1" applyBorder="1" applyAlignment="1" applyProtection="1">
      <alignment horizontal="center" wrapText="1" readingOrder="1"/>
      <protection hidden="1"/>
    </xf>
    <xf numFmtId="0" fontId="20" fillId="12" borderId="0" xfId="0" applyFont="1" applyFill="1" applyAlignment="1" applyProtection="1">
      <alignment horizontal="center" wrapText="1" readingOrder="1"/>
      <protection hidden="1"/>
    </xf>
    <xf numFmtId="0" fontId="20" fillId="12" borderId="15" xfId="0" applyFont="1" applyFill="1" applyBorder="1" applyAlignment="1" applyProtection="1">
      <alignment horizontal="center" wrapText="1" readingOrder="1"/>
      <protection hidden="1"/>
    </xf>
    <xf numFmtId="0" fontId="20" fillId="12" borderId="16" xfId="0" applyFont="1" applyFill="1" applyBorder="1" applyAlignment="1" applyProtection="1">
      <alignment horizontal="center" wrapText="1" readingOrder="1"/>
      <protection hidden="1"/>
    </xf>
    <xf numFmtId="0" fontId="20" fillId="12" borderId="18" xfId="0" applyFont="1" applyFill="1" applyBorder="1" applyAlignment="1" applyProtection="1">
      <alignment horizontal="center" wrapText="1" readingOrder="1"/>
      <protection hidden="1"/>
    </xf>
    <xf numFmtId="0" fontId="20" fillId="12" borderId="17" xfId="0" applyFont="1" applyFill="1" applyBorder="1" applyAlignment="1" applyProtection="1">
      <alignment horizontal="center" wrapText="1" readingOrder="1"/>
      <protection hidden="1"/>
    </xf>
    <xf numFmtId="0" fontId="20" fillId="12" borderId="12" xfId="0" applyFont="1" applyFill="1" applyBorder="1" applyAlignment="1" applyProtection="1">
      <alignment horizontal="center" wrapText="1" readingOrder="1"/>
      <protection hidden="1"/>
    </xf>
    <xf numFmtId="0" fontId="20" fillId="12" borderId="19" xfId="0" applyFont="1" applyFill="1" applyBorder="1" applyAlignment="1" applyProtection="1">
      <alignment horizontal="center" wrapText="1" readingOrder="1"/>
      <protection hidden="1"/>
    </xf>
    <xf numFmtId="0" fontId="20" fillId="12" borderId="13" xfId="0" applyFont="1" applyFill="1" applyBorder="1" applyAlignment="1" applyProtection="1">
      <alignment horizontal="center" wrapText="1" readingOrder="1"/>
      <protection hidden="1"/>
    </xf>
    <xf numFmtId="0" fontId="20" fillId="13" borderId="14" xfId="0" applyFont="1" applyFill="1" applyBorder="1" applyAlignment="1" applyProtection="1">
      <alignment horizontal="center" wrapText="1" readingOrder="1"/>
      <protection hidden="1"/>
    </xf>
    <xf numFmtId="0" fontId="20" fillId="13" borderId="0" xfId="0" applyFont="1" applyFill="1" applyAlignment="1" applyProtection="1">
      <alignment horizontal="center" wrapText="1" readingOrder="1"/>
      <protection hidden="1"/>
    </xf>
    <xf numFmtId="0" fontId="20" fillId="13" borderId="15" xfId="0" applyFont="1" applyFill="1" applyBorder="1" applyAlignment="1" applyProtection="1">
      <alignment horizontal="center" wrapText="1" readingOrder="1"/>
      <protection hidden="1"/>
    </xf>
    <xf numFmtId="0" fontId="20" fillId="13" borderId="16" xfId="0" applyFont="1" applyFill="1" applyBorder="1" applyAlignment="1" applyProtection="1">
      <alignment horizontal="center" wrapText="1" readingOrder="1"/>
      <protection hidden="1"/>
    </xf>
    <xf numFmtId="0" fontId="20" fillId="13" borderId="18" xfId="0" applyFont="1" applyFill="1" applyBorder="1" applyAlignment="1" applyProtection="1">
      <alignment horizontal="center" wrapText="1" readingOrder="1"/>
      <protection hidden="1"/>
    </xf>
    <xf numFmtId="0" fontId="20" fillId="13" borderId="17" xfId="0" applyFont="1" applyFill="1" applyBorder="1" applyAlignment="1" applyProtection="1">
      <alignment horizontal="center" wrapText="1" readingOrder="1"/>
      <protection hidden="1"/>
    </xf>
    <xf numFmtId="0" fontId="20" fillId="13" borderId="12" xfId="0" applyFont="1" applyFill="1" applyBorder="1" applyAlignment="1" applyProtection="1">
      <alignment horizontal="center" wrapText="1" readingOrder="1"/>
      <protection hidden="1"/>
    </xf>
    <xf numFmtId="0" fontId="20" fillId="13" borderId="19" xfId="0" applyFont="1" applyFill="1" applyBorder="1" applyAlignment="1" applyProtection="1">
      <alignment horizontal="center" wrapText="1" readingOrder="1"/>
      <protection hidden="1"/>
    </xf>
    <xf numFmtId="0" fontId="20" fillId="13" borderId="13" xfId="0" applyFont="1" applyFill="1" applyBorder="1" applyAlignment="1" applyProtection="1">
      <alignment horizontal="center" wrapText="1" readingOrder="1"/>
      <protection hidden="1"/>
    </xf>
    <xf numFmtId="0" fontId="20" fillId="5" borderId="0" xfId="0" applyFont="1" applyFill="1" applyAlignment="1" applyProtection="1">
      <alignment horizontal="center" wrapText="1" readingOrder="1"/>
      <protection hidden="1"/>
    </xf>
    <xf numFmtId="0" fontId="20" fillId="5" borderId="15" xfId="0" applyFont="1" applyFill="1" applyBorder="1" applyAlignment="1" applyProtection="1">
      <alignment horizontal="center" wrapText="1" readingOrder="1"/>
      <protection hidden="1"/>
    </xf>
    <xf numFmtId="0" fontId="20" fillId="5" borderId="14" xfId="0" applyFont="1" applyFill="1" applyBorder="1" applyAlignment="1" applyProtection="1">
      <alignment horizontal="center" wrapText="1" readingOrder="1"/>
      <protection hidden="1"/>
    </xf>
    <xf numFmtId="0" fontId="20" fillId="5" borderId="16" xfId="0" applyFont="1" applyFill="1" applyBorder="1" applyAlignment="1" applyProtection="1">
      <alignment horizontal="center" wrapText="1" readingOrder="1"/>
      <protection hidden="1"/>
    </xf>
    <xf numFmtId="0" fontId="20" fillId="5" borderId="18" xfId="0" applyFont="1" applyFill="1" applyBorder="1" applyAlignment="1" applyProtection="1">
      <alignment horizontal="center" wrapText="1" readingOrder="1"/>
      <protection hidden="1"/>
    </xf>
    <xf numFmtId="0" fontId="20" fillId="5" borderId="17" xfId="0" applyFont="1" applyFill="1" applyBorder="1" applyAlignment="1" applyProtection="1">
      <alignment horizontal="center" wrapText="1" readingOrder="1"/>
      <protection hidden="1"/>
    </xf>
    <xf numFmtId="0" fontId="20" fillId="5" borderId="12" xfId="0" applyFont="1" applyFill="1" applyBorder="1" applyAlignment="1" applyProtection="1">
      <alignment horizontal="center" wrapText="1" readingOrder="1"/>
      <protection hidden="1"/>
    </xf>
    <xf numFmtId="0" fontId="20" fillId="5" borderId="19" xfId="0" applyFont="1" applyFill="1" applyBorder="1" applyAlignment="1" applyProtection="1">
      <alignment horizontal="center" wrapText="1" readingOrder="1"/>
      <protection hidden="1"/>
    </xf>
    <xf numFmtId="0" fontId="20" fillId="5" borderId="13" xfId="0" applyFont="1" applyFill="1" applyBorder="1" applyAlignment="1" applyProtection="1">
      <alignment horizontal="center" wrapText="1" readingOrder="1"/>
      <protection hidden="1"/>
    </xf>
    <xf numFmtId="0" fontId="25" fillId="0" borderId="0" xfId="0" applyFont="1" applyAlignment="1">
      <alignment horizontal="center" vertical="center" wrapText="1"/>
    </xf>
    <xf numFmtId="0" fontId="41" fillId="11" borderId="20" xfId="0" applyFont="1" applyFill="1" applyBorder="1" applyAlignment="1">
      <alignment horizontal="center" vertical="center" wrapText="1" readingOrder="1"/>
    </xf>
    <xf numFmtId="0" fontId="41" fillId="11" borderId="21" xfId="0" applyFont="1" applyFill="1" applyBorder="1" applyAlignment="1">
      <alignment horizontal="center" vertical="center" wrapText="1" readingOrder="1"/>
    </xf>
    <xf numFmtId="0" fontId="41" fillId="11" borderId="22" xfId="0" applyFont="1" applyFill="1" applyBorder="1" applyAlignment="1">
      <alignment horizontal="center" vertical="center" wrapText="1" readingOrder="1"/>
    </xf>
    <xf numFmtId="0" fontId="41" fillId="11" borderId="23" xfId="0" applyFont="1" applyFill="1" applyBorder="1" applyAlignment="1">
      <alignment horizontal="center" vertical="center" wrapText="1" readingOrder="1"/>
    </xf>
    <xf numFmtId="0" fontId="41" fillId="11" borderId="0" xfId="0" applyFont="1" applyFill="1" applyAlignment="1">
      <alignment horizontal="center" vertical="center" wrapText="1" readingOrder="1"/>
    </xf>
    <xf numFmtId="0" fontId="41" fillId="11" borderId="24" xfId="0" applyFont="1" applyFill="1" applyBorder="1" applyAlignment="1">
      <alignment horizontal="center" vertical="center" wrapText="1" readingOrder="1"/>
    </xf>
    <xf numFmtId="0" fontId="41" fillId="11" borderId="25" xfId="0" applyFont="1" applyFill="1" applyBorder="1" applyAlignment="1">
      <alignment horizontal="center" vertical="center" wrapText="1" readingOrder="1"/>
    </xf>
    <xf numFmtId="0" fontId="41" fillId="11" borderId="26" xfId="0" applyFont="1" applyFill="1" applyBorder="1" applyAlignment="1">
      <alignment horizontal="center" vertical="center" wrapText="1" readingOrder="1"/>
    </xf>
    <xf numFmtId="0" fontId="41" fillId="11" borderId="27" xfId="0" applyFont="1" applyFill="1" applyBorder="1" applyAlignment="1">
      <alignment horizontal="center" vertical="center" wrapText="1" readingOrder="1"/>
    </xf>
    <xf numFmtId="0" fontId="42" fillId="0" borderId="12" xfId="0" applyFont="1" applyBorder="1" applyAlignment="1">
      <alignment horizontal="center" vertical="center" wrapText="1"/>
    </xf>
    <xf numFmtId="0" fontId="42" fillId="0" borderId="19" xfId="0" applyFont="1" applyBorder="1" applyAlignment="1">
      <alignment horizontal="center" vertical="center"/>
    </xf>
    <xf numFmtId="0" fontId="42" fillId="0" borderId="14" xfId="0" applyFont="1" applyBorder="1" applyAlignment="1">
      <alignment horizontal="center" vertical="center" wrapText="1"/>
    </xf>
    <xf numFmtId="0" fontId="42" fillId="0" borderId="0" xfId="0" applyFont="1" applyAlignment="1">
      <alignment horizontal="center" vertical="center"/>
    </xf>
    <xf numFmtId="0" fontId="42" fillId="0" borderId="14" xfId="0" applyFont="1" applyBorder="1" applyAlignment="1">
      <alignment horizontal="center" vertical="center"/>
    </xf>
    <xf numFmtId="0" fontId="42" fillId="0" borderId="16" xfId="0" applyFont="1" applyBorder="1" applyAlignment="1">
      <alignment horizontal="center" vertical="center"/>
    </xf>
    <xf numFmtId="0" fontId="42" fillId="0" borderId="18" xfId="0" applyFont="1" applyBorder="1" applyAlignment="1">
      <alignment horizontal="center" vertical="center"/>
    </xf>
    <xf numFmtId="0" fontId="41" fillId="12" borderId="20" xfId="0" applyFont="1" applyFill="1" applyBorder="1" applyAlignment="1">
      <alignment horizontal="center" vertical="center" wrapText="1" readingOrder="1"/>
    </xf>
    <xf numFmtId="0" fontId="41" fillId="12" borderId="21" xfId="0" applyFont="1" applyFill="1" applyBorder="1" applyAlignment="1">
      <alignment horizontal="center" vertical="center" wrapText="1" readingOrder="1"/>
    </xf>
    <xf numFmtId="0" fontId="41" fillId="12" borderId="22" xfId="0" applyFont="1" applyFill="1" applyBorder="1" applyAlignment="1">
      <alignment horizontal="center" vertical="center" wrapText="1" readingOrder="1"/>
    </xf>
    <xf numFmtId="0" fontId="41" fillId="12" borderId="23" xfId="0" applyFont="1" applyFill="1" applyBorder="1" applyAlignment="1">
      <alignment horizontal="center" vertical="center" wrapText="1" readingOrder="1"/>
    </xf>
    <xf numFmtId="0" fontId="41" fillId="12" borderId="0" xfId="0" applyFont="1" applyFill="1" applyAlignment="1">
      <alignment horizontal="center" vertical="center" wrapText="1" readingOrder="1"/>
    </xf>
    <xf numFmtId="0" fontId="41" fillId="12" borderId="24" xfId="0" applyFont="1" applyFill="1" applyBorder="1" applyAlignment="1">
      <alignment horizontal="center" vertical="center" wrapText="1" readingOrder="1"/>
    </xf>
    <xf numFmtId="0" fontId="41" fillId="12" borderId="25" xfId="0" applyFont="1" applyFill="1" applyBorder="1" applyAlignment="1">
      <alignment horizontal="center" vertical="center" wrapText="1" readingOrder="1"/>
    </xf>
    <xf numFmtId="0" fontId="41" fillId="12" borderId="26" xfId="0" applyFont="1" applyFill="1" applyBorder="1" applyAlignment="1">
      <alignment horizontal="center" vertical="center" wrapText="1" readingOrder="1"/>
    </xf>
    <xf numFmtId="0" fontId="41" fillId="12" borderId="27" xfId="0" applyFont="1" applyFill="1" applyBorder="1" applyAlignment="1">
      <alignment horizontal="center" vertical="center" wrapText="1" readingOrder="1"/>
    </xf>
    <xf numFmtId="0" fontId="40" fillId="0" borderId="0" xfId="0" applyFont="1" applyAlignment="1">
      <alignment horizontal="center" vertical="center" wrapText="1"/>
    </xf>
    <xf numFmtId="0" fontId="22" fillId="0" borderId="0" xfId="0" applyFont="1" applyAlignment="1">
      <alignment horizontal="center" vertical="center" wrapText="1"/>
    </xf>
    <xf numFmtId="0" fontId="42" fillId="0" borderId="13" xfId="0" applyFont="1" applyBorder="1" applyAlignment="1">
      <alignment horizontal="center" vertical="center"/>
    </xf>
    <xf numFmtId="0" fontId="42" fillId="0" borderId="15" xfId="0" applyFont="1" applyBorder="1" applyAlignment="1">
      <alignment horizontal="center" vertical="center"/>
    </xf>
    <xf numFmtId="0" fontId="42" fillId="0" borderId="17" xfId="0" applyFont="1" applyBorder="1" applyAlignment="1">
      <alignment horizontal="center" vertical="center"/>
    </xf>
    <xf numFmtId="0" fontId="41" fillId="5" borderId="20" xfId="0" applyFont="1" applyFill="1" applyBorder="1" applyAlignment="1">
      <alignment horizontal="center" vertical="center" wrapText="1" readingOrder="1"/>
    </xf>
    <xf numFmtId="0" fontId="41" fillId="5" borderId="21" xfId="0" applyFont="1" applyFill="1" applyBorder="1" applyAlignment="1">
      <alignment horizontal="center" vertical="center" wrapText="1" readingOrder="1"/>
    </xf>
    <xf numFmtId="0" fontId="41" fillId="5" borderId="22" xfId="0" applyFont="1" applyFill="1" applyBorder="1" applyAlignment="1">
      <alignment horizontal="center" vertical="center" wrapText="1" readingOrder="1"/>
    </xf>
    <xf numFmtId="0" fontId="41" fillId="5" borderId="23" xfId="0" applyFont="1" applyFill="1" applyBorder="1" applyAlignment="1">
      <alignment horizontal="center" vertical="center" wrapText="1" readingOrder="1"/>
    </xf>
    <xf numFmtId="0" fontId="41" fillId="5" borderId="0" xfId="0" applyFont="1" applyFill="1" applyAlignment="1">
      <alignment horizontal="center" vertical="center" wrapText="1" readingOrder="1"/>
    </xf>
    <xf numFmtId="0" fontId="41" fillId="5" borderId="24" xfId="0" applyFont="1" applyFill="1" applyBorder="1" applyAlignment="1">
      <alignment horizontal="center" vertical="center" wrapText="1" readingOrder="1"/>
    </xf>
    <xf numFmtId="0" fontId="41" fillId="5" borderId="25" xfId="0" applyFont="1" applyFill="1" applyBorder="1" applyAlignment="1">
      <alignment horizontal="center" vertical="center" wrapText="1" readingOrder="1"/>
    </xf>
    <xf numFmtId="0" fontId="41" fillId="5" borderId="26" xfId="0" applyFont="1" applyFill="1" applyBorder="1" applyAlignment="1">
      <alignment horizontal="center" vertical="center" wrapText="1" readingOrder="1"/>
    </xf>
    <xf numFmtId="0" fontId="41" fillId="5" borderId="27" xfId="0" applyFont="1" applyFill="1" applyBorder="1" applyAlignment="1">
      <alignment horizontal="center" vertical="center" wrapText="1" readingOrder="1"/>
    </xf>
    <xf numFmtId="0" fontId="41" fillId="13" borderId="20" xfId="0" applyFont="1" applyFill="1" applyBorder="1" applyAlignment="1">
      <alignment horizontal="center" vertical="center" wrapText="1" readingOrder="1"/>
    </xf>
    <xf numFmtId="0" fontId="41" fillId="13" borderId="21" xfId="0" applyFont="1" applyFill="1" applyBorder="1" applyAlignment="1">
      <alignment horizontal="center" vertical="center" wrapText="1" readingOrder="1"/>
    </xf>
    <xf numFmtId="0" fontId="41" fillId="13" borderId="22" xfId="0" applyFont="1" applyFill="1" applyBorder="1" applyAlignment="1">
      <alignment horizontal="center" vertical="center" wrapText="1" readingOrder="1"/>
    </xf>
    <xf numFmtId="0" fontId="41" fillId="13" borderId="23" xfId="0" applyFont="1" applyFill="1" applyBorder="1" applyAlignment="1">
      <alignment horizontal="center" vertical="center" wrapText="1" readingOrder="1"/>
    </xf>
    <xf numFmtId="0" fontId="41" fillId="13" borderId="0" xfId="0" applyFont="1" applyFill="1" applyAlignment="1">
      <alignment horizontal="center" vertical="center" wrapText="1" readingOrder="1"/>
    </xf>
    <xf numFmtId="0" fontId="41" fillId="13" borderId="24" xfId="0" applyFont="1" applyFill="1" applyBorder="1" applyAlignment="1">
      <alignment horizontal="center" vertical="center" wrapText="1" readingOrder="1"/>
    </xf>
    <xf numFmtId="0" fontId="41" fillId="13" borderId="25" xfId="0" applyFont="1" applyFill="1" applyBorder="1" applyAlignment="1">
      <alignment horizontal="center" vertical="center" wrapText="1" readingOrder="1"/>
    </xf>
    <xf numFmtId="0" fontId="41" fillId="13" borderId="26" xfId="0" applyFont="1" applyFill="1" applyBorder="1" applyAlignment="1">
      <alignment horizontal="center" vertical="center" wrapText="1" readingOrder="1"/>
    </xf>
    <xf numFmtId="0" fontId="41" fillId="13" borderId="27" xfId="0" applyFont="1" applyFill="1" applyBorder="1" applyAlignment="1">
      <alignment horizontal="center" vertical="center" wrapText="1" readingOrder="1"/>
    </xf>
    <xf numFmtId="0" fontId="42" fillId="0" borderId="19" xfId="0" applyFont="1" applyBorder="1" applyAlignment="1">
      <alignment horizontal="center" vertical="center" wrapText="1"/>
    </xf>
    <xf numFmtId="0" fontId="24" fillId="0" borderId="0" xfId="0" applyFont="1" applyAlignment="1">
      <alignment horizontal="center" vertical="center"/>
    </xf>
    <xf numFmtId="0" fontId="44" fillId="0" borderId="0" xfId="0" applyFont="1" applyAlignment="1">
      <alignment horizontal="center" vertical="center"/>
    </xf>
    <xf numFmtId="0" fontId="39" fillId="15" borderId="34" xfId="0" applyFont="1" applyFill="1" applyBorder="1" applyAlignment="1">
      <alignment horizontal="center" vertical="center" wrapText="1" readingOrder="1"/>
    </xf>
    <xf numFmtId="0" fontId="39" fillId="15" borderId="35" xfId="0" applyFont="1" applyFill="1" applyBorder="1" applyAlignment="1">
      <alignment horizontal="center" vertical="center" wrapText="1" readingOrder="1"/>
    </xf>
    <xf numFmtId="0" fontId="39" fillId="15" borderId="46" xfId="0" applyFont="1" applyFill="1" applyBorder="1" applyAlignment="1">
      <alignment horizontal="center" vertical="center" wrapText="1" readingOrder="1"/>
    </xf>
    <xf numFmtId="0" fontId="34" fillId="3" borderId="0" xfId="0" applyFont="1" applyFill="1" applyAlignment="1">
      <alignment horizontal="justify" vertical="center" wrapText="1"/>
    </xf>
    <xf numFmtId="0" fontId="36" fillId="15" borderId="43" xfId="0" applyFont="1" applyFill="1" applyBorder="1" applyAlignment="1">
      <alignment horizontal="center" vertical="center" wrapText="1" readingOrder="1"/>
    </xf>
    <xf numFmtId="0" fontId="36" fillId="15" borderId="44" xfId="0" applyFont="1" applyFill="1" applyBorder="1" applyAlignment="1">
      <alignment horizontal="center" vertical="center" wrapText="1" readingOrder="1"/>
    </xf>
    <xf numFmtId="0" fontId="36" fillId="3" borderId="41" xfId="0" applyFont="1" applyFill="1" applyBorder="1" applyAlignment="1">
      <alignment horizontal="center" vertical="center" wrapText="1" readingOrder="1"/>
    </xf>
    <xf numFmtId="0" fontId="36" fillId="3" borderId="36" xfId="0" applyFont="1" applyFill="1" applyBorder="1" applyAlignment="1">
      <alignment horizontal="center" vertical="center" wrapText="1" readingOrder="1"/>
    </xf>
    <xf numFmtId="0" fontId="36" fillId="3" borderId="33" xfId="0" applyFont="1" applyFill="1" applyBorder="1" applyAlignment="1">
      <alignment horizontal="center" vertical="center" wrapText="1" readingOrder="1"/>
    </xf>
    <xf numFmtId="0" fontId="36" fillId="3" borderId="32" xfId="0" applyFont="1" applyFill="1" applyBorder="1" applyAlignment="1">
      <alignment horizontal="center" vertical="center" wrapText="1" readingOrder="1"/>
    </xf>
    <xf numFmtId="0" fontId="36" fillId="3" borderId="38" xfId="0" applyFont="1" applyFill="1" applyBorder="1" applyAlignment="1">
      <alignment horizontal="center" vertical="center" wrapText="1" readingOrder="1"/>
    </xf>
    <xf numFmtId="0" fontId="36" fillId="3" borderId="39" xfId="0" applyFont="1" applyFill="1" applyBorder="1" applyAlignment="1">
      <alignment horizontal="center" vertical="center" wrapText="1" readingOrder="1"/>
    </xf>
    <xf numFmtId="0" fontId="1" fillId="0" borderId="177" xfId="0" applyFont="1" applyBorder="1" applyAlignment="1">
      <alignment horizontal="left" vertical="center" wrapText="1"/>
    </xf>
    <xf numFmtId="0" fontId="1" fillId="0" borderId="178" xfId="0" applyFont="1" applyBorder="1" applyAlignment="1">
      <alignment horizontal="left" vertical="center" wrapText="1"/>
    </xf>
    <xf numFmtId="0" fontId="1" fillId="0" borderId="179" xfId="0" applyFont="1" applyBorder="1" applyAlignment="1">
      <alignment horizontal="left" vertical="center" wrapText="1"/>
    </xf>
    <xf numFmtId="0" fontId="59" fillId="3" borderId="138" xfId="0" applyFont="1" applyFill="1" applyBorder="1" applyAlignment="1" applyProtection="1">
      <alignment horizontal="center" vertical="center"/>
      <protection locked="0"/>
    </xf>
    <xf numFmtId="0" fontId="59" fillId="3" borderId="175" xfId="0" applyFont="1" applyFill="1" applyBorder="1" applyAlignment="1">
      <alignment horizontal="center" vertical="center"/>
    </xf>
    <xf numFmtId="0" fontId="59" fillId="3" borderId="176" xfId="0" applyFont="1" applyFill="1" applyBorder="1" applyAlignment="1">
      <alignment horizontal="center" vertical="center"/>
    </xf>
    <xf numFmtId="0" fontId="59" fillId="3" borderId="142" xfId="0" applyFont="1" applyFill="1" applyBorder="1" applyAlignment="1" applyProtection="1">
      <alignment horizontal="center" vertical="center" wrapText="1"/>
      <protection locked="0"/>
    </xf>
    <xf numFmtId="0" fontId="59" fillId="3" borderId="173" xfId="0" applyFont="1" applyFill="1" applyBorder="1" applyAlignment="1" applyProtection="1">
      <alignment horizontal="center" vertical="center" wrapText="1"/>
      <protection locked="0"/>
    </xf>
    <xf numFmtId="0" fontId="59" fillId="3" borderId="174" xfId="0" applyFont="1" applyFill="1" applyBorder="1" applyAlignment="1" applyProtection="1">
      <alignment horizontal="center" vertical="center" wrapText="1"/>
      <protection locked="0"/>
    </xf>
    <xf numFmtId="0" fontId="71" fillId="3" borderId="138" xfId="0" applyFont="1" applyFill="1" applyBorder="1" applyAlignment="1" applyProtection="1">
      <alignment horizontal="center" vertical="center" wrapText="1"/>
      <protection locked="0"/>
    </xf>
    <xf numFmtId="0" fontId="34" fillId="3" borderId="138" xfId="0" applyFont="1" applyFill="1" applyBorder="1" applyAlignment="1" applyProtection="1">
      <alignment horizontal="center" vertical="center" wrapText="1"/>
      <protection locked="0"/>
    </xf>
    <xf numFmtId="0" fontId="1" fillId="3" borderId="141" xfId="0" applyFont="1" applyFill="1" applyBorder="1" applyAlignment="1" applyProtection="1">
      <alignment horizontal="center" vertical="center"/>
      <protection locked="0"/>
    </xf>
    <xf numFmtId="0" fontId="1" fillId="3" borderId="173" xfId="0" applyFont="1" applyFill="1" applyBorder="1" applyAlignment="1" applyProtection="1">
      <alignment horizontal="center" vertical="center"/>
      <protection locked="0"/>
    </xf>
    <xf numFmtId="0" fontId="1" fillId="3" borderId="140" xfId="0" applyFont="1" applyFill="1" applyBorder="1" applyAlignment="1" applyProtection="1">
      <alignment horizontal="center" vertical="center"/>
      <protection locked="0"/>
    </xf>
    <xf numFmtId="0" fontId="1" fillId="3" borderId="142" xfId="0" applyFont="1" applyFill="1" applyBorder="1" applyAlignment="1" applyProtection="1">
      <alignment horizontal="center" vertical="center"/>
      <protection locked="0"/>
    </xf>
    <xf numFmtId="0" fontId="59" fillId="3" borderId="139" xfId="0" applyFont="1" applyFill="1" applyBorder="1" applyAlignment="1" applyProtection="1">
      <alignment horizontal="center" vertical="center"/>
      <protection locked="0"/>
    </xf>
    <xf numFmtId="0" fontId="59" fillId="0" borderId="141" xfId="0" applyFont="1" applyBorder="1" applyAlignment="1" applyProtection="1">
      <alignment horizontal="center" vertical="center"/>
      <protection locked="0"/>
    </xf>
    <xf numFmtId="0" fontId="59" fillId="0" borderId="173" xfId="0" applyFont="1" applyBorder="1" applyAlignment="1" applyProtection="1">
      <alignment horizontal="center" vertical="center"/>
      <protection locked="0"/>
    </xf>
    <xf numFmtId="0" fontId="59" fillId="3" borderId="138" xfId="0" applyFont="1" applyFill="1" applyBorder="1" applyAlignment="1" applyProtection="1">
      <alignment horizontal="center" vertical="center" wrapText="1"/>
      <protection locked="0"/>
    </xf>
    <xf numFmtId="9" fontId="59" fillId="0" borderId="138" xfId="0" applyNumberFormat="1" applyFont="1" applyBorder="1" applyAlignment="1" applyProtection="1">
      <alignment horizontal="center" vertical="center" wrapText="1"/>
      <protection locked="0"/>
    </xf>
    <xf numFmtId="0" fontId="60" fillId="3" borderId="99" xfId="0" applyFont="1" applyFill="1" applyBorder="1" applyAlignment="1">
      <alignment horizontal="right" vertical="center"/>
    </xf>
    <xf numFmtId="0" fontId="60" fillId="3" borderId="100" xfId="0" applyFont="1" applyFill="1" applyBorder="1" applyAlignment="1">
      <alignment horizontal="right" vertical="center"/>
    </xf>
    <xf numFmtId="0" fontId="60" fillId="3" borderId="101" xfId="0" applyFont="1" applyFill="1" applyBorder="1" applyAlignment="1">
      <alignment horizontal="right" vertical="center"/>
    </xf>
    <xf numFmtId="0" fontId="60" fillId="3" borderId="86" xfId="0" applyFont="1" applyFill="1" applyBorder="1" applyAlignment="1">
      <alignment horizontal="right" vertical="center"/>
    </xf>
    <xf numFmtId="0" fontId="60" fillId="3" borderId="87" xfId="0" applyFont="1" applyFill="1" applyBorder="1" applyAlignment="1">
      <alignment horizontal="right" vertical="center"/>
    </xf>
    <xf numFmtId="0" fontId="60" fillId="3" borderId="88" xfId="0" applyFont="1" applyFill="1" applyBorder="1" applyAlignment="1">
      <alignment horizontal="right" vertical="center"/>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769">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7.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pivotCacheDefinition" Target="pivotCache/pivotCacheDefinition1.xml"/><Relationship Id="rId33" Type="http://schemas.microsoft.com/office/2017/06/relationships/rdRichValue" Target="richData/rdrichvalue.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29"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0.xml"/><Relationship Id="rId32" Type="http://schemas.microsoft.com/office/2017/06/relationships/rdRichValueTypes" Target="richData/rdRichValueType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5.xml"/><Relationship Id="rId31"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styles" Target="styles.xml"/><Relationship Id="rId30"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375911</xdr:colOff>
      <xdr:row>0</xdr:row>
      <xdr:rowOff>69065</xdr:rowOff>
    </xdr:from>
    <xdr:to>
      <xdr:col>3</xdr:col>
      <xdr:colOff>230255</xdr:colOff>
      <xdr:row>2</xdr:row>
      <xdr:rowOff>570484</xdr:rowOff>
    </xdr:to>
    <xdr:pic>
      <xdr:nvPicPr>
        <xdr:cNvPr id="2" name="Imagen 1">
          <a:extLst>
            <a:ext uri="{FF2B5EF4-FFF2-40B4-BE49-F238E27FC236}">
              <a16:creationId xmlns:a16="http://schemas.microsoft.com/office/drawing/2014/main" id="{DE7E61FE-71D9-7E45-89A4-F62732A08162}"/>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60400" y="69065"/>
          <a:ext cx="2959901" cy="17136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375911</xdr:colOff>
      <xdr:row>0</xdr:row>
      <xdr:rowOff>69065</xdr:rowOff>
    </xdr:from>
    <xdr:to>
      <xdr:col>3</xdr:col>
      <xdr:colOff>230255</xdr:colOff>
      <xdr:row>2</xdr:row>
      <xdr:rowOff>570484</xdr:rowOff>
    </xdr:to>
    <xdr:pic>
      <xdr:nvPicPr>
        <xdr:cNvPr id="2" name="Imagen 1">
          <a:extLst>
            <a:ext uri="{FF2B5EF4-FFF2-40B4-BE49-F238E27FC236}">
              <a16:creationId xmlns:a16="http://schemas.microsoft.com/office/drawing/2014/main" id="{016E9E52-0F5E-40F8-BB2B-6C8097A23B87}"/>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6936" y="69065"/>
          <a:ext cx="2930919" cy="17206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375911</xdr:colOff>
      <xdr:row>0</xdr:row>
      <xdr:rowOff>69065</xdr:rowOff>
    </xdr:from>
    <xdr:to>
      <xdr:col>3</xdr:col>
      <xdr:colOff>230255</xdr:colOff>
      <xdr:row>2</xdr:row>
      <xdr:rowOff>570484</xdr:rowOff>
    </xdr:to>
    <xdr:pic>
      <xdr:nvPicPr>
        <xdr:cNvPr id="2" name="Imagen 1">
          <a:extLst>
            <a:ext uri="{FF2B5EF4-FFF2-40B4-BE49-F238E27FC236}">
              <a16:creationId xmlns:a16="http://schemas.microsoft.com/office/drawing/2014/main" id="{49FCC8DD-E5F2-4454-AB9E-420DB5D530B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56936" y="69065"/>
          <a:ext cx="2930919" cy="17206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cer\Desktop\LUISA%202021\PLANEACION\Copia%20de%201.%20Matriz_mapa_riesgos%20(00000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ISTEMA%20DE%20GESTION/6.1%20riesgos%20y%20oportunidades/Copia%20de%20Mapa%20de%20Riesgos%20de%20Gestion%20y%20de%20Seguridad%20de%20la%20Informacion-INTERVENTORIA.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ISTEMA%20DE%20GESTION/6.1%20riesgos%20y%20oportunidades/Matriz%20Riesgos%20Operativa%20y%20de%20Proyectos%20Especial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ISTEMA%20DE%20GESTION/6.1%20riesgos%20y%20oportunidades/Mapa%20de%20Riesgos%20de%20Gestion%20y%20de%20Seguridad%20de%20la%20Informacion-Planeacion.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LAURA\Desktop\LAURA%20EPC%202021\FINALES%20RIESGOS%202021\Matriz%20de%20Riesgos%20de%20Gestion%20%20y%20de%20Seguridad%20de%20la%20Informacion-Aseguramiento%20del%20servici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lfern\AppData\Local\Microsoft\Windows\INetCache\Content.Outlook\0035SQD3\Mapa%20de%20Riesgos%20de%20Gestion%20y%20de%20Seguridad%20de%20la%20Informacion%20Gestion%20Humana.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ISTEMA%20DE%20GESTION/6.1%20riesgos%20y%20oportunidades/Mapa%20Riesgos%20Gestion%20y%20de%20Seguridad%20de%20la%20Informacion--Nuevos%20Negocios.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SISTEMA%20DE%20GESTION/6.1%20riesgos%20y%20oportunidades/Mapa%20de%20Riesgos%20de%20Gestion%20y%20de%20Seguridad%20de%20la%20Informacion-GestionContractual.xlsx" TargetMode="External"/></Relationships>
</file>

<file path=xl/externalLinks/_rels/externalLink9.xml.rels><?xml version="1.0" encoding="UTF-8" standalone="yes"?>
<Relationships xmlns="http://schemas.openxmlformats.org/package/2006/relationships"><Relationship Id="rId2" Type="http://schemas.microsoft.com/office/2019/04/relationships/externalLinkLongPath" Target="/Users/karenmora/Downloads/CARGUE%20EN%20RED%20FINANZAS/INFORMES/GERENCIA/C:/Users/acer/AppData/Local/Microsoft/Windows/INetCache/Content.Outlook/EPEAMTLO/Mapa%20de%20Riesgos%20de%20Gestion%20y%20de%20Seguridad%20de%20la%20Informacion-Tesoreria.xlsx?6D01E125" TargetMode="External"/><Relationship Id="rId1" Type="http://schemas.openxmlformats.org/officeDocument/2006/relationships/externalLinkPath" Target="file:///\\6D01E125\Mapa%20de%20Riesgos%20de%20Gestion%20y%20de%20Seguridad%20de%20la%20Informacion-Tesoreria.xlsx"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1.Matriz%20Riesgos%20Direccion%20Finanzas%20y%20Presupue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 val="Hoja2"/>
      <sheetName val="Hoja4"/>
      <sheetName val="Clasificacion riesgo"/>
    </sheetNames>
    <sheetDataSet>
      <sheetData sheetId="0" refreshError="1"/>
      <sheetData sheetId="1" refreshError="1"/>
      <sheetData sheetId="2" refreshError="1"/>
      <sheetData sheetId="3" refreshError="1"/>
      <sheetData sheetId="4" refreshError="1"/>
      <sheetData sheetId="5" refreshError="1">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sheetData>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Clasificacion riesgo"/>
      <sheetName val="Mapa final"/>
      <sheetName val="Hoja4"/>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sheetData sheetId="7">
        <row r="11">
          <cell r="C11" t="str">
            <v xml:space="preserve">     Afectación menor a 10 SMLMV .</v>
          </cell>
        </row>
        <row r="221">
          <cell r="B221" t="e">
            <v>#NAME?</v>
          </cell>
        </row>
        <row r="222">
          <cell r="B222" t="e">
            <v>#NAME?</v>
          </cell>
        </row>
        <row r="223">
          <cell r="B223" t="e">
            <v>#NAME?</v>
          </cell>
          <cell r="F223" t="str">
            <v>❌</v>
          </cell>
        </row>
      </sheetData>
      <sheetData sheetId="8"/>
      <sheetData sheetId="9"/>
      <sheetData sheetId="1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Intructivo"/>
      <sheetName val="Mapa final"/>
      <sheetName val="Hoja4"/>
      <sheetName val="Clasificacion riesgo"/>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sheetData sheetId="7"/>
      <sheetData sheetId="8">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Clasificacion riesgo"/>
      <sheetName val="Mapa final"/>
      <sheetName val="Hoja4"/>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Intructivo"/>
      <sheetName val="Mapa final"/>
      <sheetName val="Hoja4"/>
      <sheetName val="Clasificacion riesgo"/>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ow r="64">
          <cell r="O64" t="str">
            <v>El riesgo afecta la imagen de la entidad con algunos usuarios de relevancia frente al logro de los objetivos</v>
          </cell>
        </row>
      </sheetData>
      <sheetData sheetId="3" refreshError="1"/>
      <sheetData sheetId="4" refreshError="1"/>
      <sheetData sheetId="5" refreshError="1"/>
      <sheetData sheetId="6" refreshError="1"/>
      <sheetData sheetId="7" refreshError="1"/>
      <sheetData sheetId="8">
        <row r="4">
          <cell r="C4" t="str">
            <v xml:space="preserve">Afectación menor a 10 SMLMV </v>
          </cell>
          <cell r="D4" t="str">
            <v>El riesgo afecta la imagen de alguna área de la organización</v>
          </cell>
        </row>
        <row r="5">
          <cell r="C5" t="str">
            <v xml:space="preserve">Entre 10 y 50 SMLMV </v>
          </cell>
          <cell r="D5" t="str">
            <v>El riesgo afecta la imagen de la entidad internamente, de conocimiento general, nivel interno, de junta dircetiva y accionistas y/o de provedores</v>
          </cell>
        </row>
        <row r="6">
          <cell r="C6" t="str">
            <v xml:space="preserve">Entre 50 y 100 SMLMV </v>
          </cell>
          <cell r="D6" t="str">
            <v>El riesgo afecta la imagen de la entidad con algunos usuarios de relevancia frente al logro de los objetivos</v>
          </cell>
        </row>
        <row r="7">
          <cell r="C7" t="str">
            <v xml:space="preserve">Entre 100 y 500 SMLMV </v>
          </cell>
          <cell r="D7" t="str">
            <v>El riesgo afecta la imagen de de la entidad con efecto publicitario sostenido a nivel de sector administrativo, nivel departamental o municipal</v>
          </cell>
        </row>
        <row r="8">
          <cell r="C8" t="str">
            <v xml:space="preserve">Mayor a 500 SMLMV </v>
          </cell>
          <cell r="D8" t="str">
            <v>El riesgo afecta la imagen de la entidad a nivel nacional, con efecto publicitarios sostenible a nivel país</v>
          </cell>
        </row>
      </sheetData>
      <sheetData sheetId="9" refreshError="1"/>
      <sheetData sheetId="10" refreshError="1"/>
      <sheetData sheetId="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Mapa final"/>
      <sheetName val="Hoja4"/>
      <sheetName val="Clasificacion riesgo"/>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sheetData sheetId="7">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8"/>
      <sheetData sheetId="9"/>
      <sheetData sheetId="1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uctivo"/>
      <sheetName val="Clasificacion riesgo"/>
      <sheetName val="Mapa final"/>
      <sheetName val="Hoja4"/>
      <sheetName val="Matriz Calor Inherente"/>
      <sheetName val="Matriz Calor Residual"/>
      <sheetName val="Tabla probabilidad"/>
      <sheetName val="Tabla Impacto"/>
      <sheetName val="Tabla Valoración controles"/>
      <sheetName val="Opciones Tratamiento"/>
      <sheetName val="Hoja1"/>
    </sheetNames>
    <sheetDataSet>
      <sheetData sheetId="0"/>
      <sheetData sheetId="1"/>
      <sheetData sheetId="2"/>
      <sheetData sheetId="3"/>
      <sheetData sheetId="4"/>
      <sheetData sheetId="5"/>
      <sheetData sheetId="6"/>
      <sheetData sheetId="7">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sheetData>
      <sheetData sheetId="8"/>
      <sheetData sheetId="9"/>
      <sheetData sheetId="1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Tabla Valoración controles"/>
      <sheetName val="Opciones Tratamiento"/>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Tabla Valoración controles"/>
      <sheetName val="Opciones Tratamiento"/>
    </sheetNames>
    <sheetDataSet>
      <sheetData sheetId="0" refreshError="1"/>
      <sheetData sheetId="1" refreshError="1"/>
      <sheetData sheetId="2"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8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fb t="e">#NAME?</fb>
    <v>4</v>
    <v>1</v>
  </rv>
</rvData>
</file>

<file path=xl/richData/rdrichvaluestructure.xml><?xml version="1.0" encoding="utf-8"?>
<rvStructures xmlns="http://schemas.microsoft.com/office/spreadsheetml/2017/richdata" count="1">
  <s t="_error">
    <k n="errorType"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112" dataDxfId="111">
  <autoFilter ref="B209:C219" xr:uid="{00000000-0009-0000-0100-000001000000}"/>
  <tableColumns count="2">
    <tableColumn id="1" xr3:uid="{00000000-0010-0000-0000-000001000000}" name="Criterios" dataDxfId="110"/>
    <tableColumn id="2" xr3:uid="{00000000-0010-0000-0000-000002000000}" name="Subcriterios" dataDxfId="109"/>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8.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K22"/>
  <sheetViews>
    <sheetView workbookViewId="0">
      <selection activeCell="G7" sqref="G7"/>
    </sheetView>
  </sheetViews>
  <sheetFormatPr baseColWidth="10" defaultColWidth="11.42578125" defaultRowHeight="15" x14ac:dyDescent="0.25"/>
  <sheetData>
    <row r="3" spans="2:11" x14ac:dyDescent="0.25">
      <c r="B3" t="s">
        <v>0</v>
      </c>
    </row>
    <row r="4" spans="2:11" x14ac:dyDescent="0.25">
      <c r="B4" t="s">
        <v>1</v>
      </c>
    </row>
    <row r="5" spans="2:11" x14ac:dyDescent="0.25">
      <c r="B5" t="s">
        <v>2</v>
      </c>
      <c r="K5" t="s">
        <v>3</v>
      </c>
    </row>
    <row r="6" spans="2:11" x14ac:dyDescent="0.25">
      <c r="B6" t="s">
        <v>4</v>
      </c>
      <c r="K6" t="s">
        <v>5</v>
      </c>
    </row>
    <row r="7" spans="2:11" x14ac:dyDescent="0.25">
      <c r="B7" t="s">
        <v>6</v>
      </c>
      <c r="K7" t="s">
        <v>7</v>
      </c>
    </row>
    <row r="8" spans="2:11" x14ac:dyDescent="0.25">
      <c r="B8" t="s">
        <v>8</v>
      </c>
      <c r="K8" t="s">
        <v>9</v>
      </c>
    </row>
    <row r="9" spans="2:11" x14ac:dyDescent="0.25">
      <c r="B9" t="s">
        <v>10</v>
      </c>
      <c r="K9" t="s">
        <v>11</v>
      </c>
    </row>
    <row r="10" spans="2:11" x14ac:dyDescent="0.25">
      <c r="B10" t="s">
        <v>12</v>
      </c>
      <c r="K10" t="s">
        <v>13</v>
      </c>
    </row>
    <row r="11" spans="2:11" x14ac:dyDescent="0.25">
      <c r="B11" t="s">
        <v>14</v>
      </c>
      <c r="K11" t="s">
        <v>15</v>
      </c>
    </row>
    <row r="12" spans="2:11" x14ac:dyDescent="0.25">
      <c r="B12" t="s">
        <v>16</v>
      </c>
      <c r="K12" t="s">
        <v>17</v>
      </c>
    </row>
    <row r="13" spans="2:11" x14ac:dyDescent="0.25">
      <c r="B13" t="s">
        <v>18</v>
      </c>
      <c r="K13" t="s">
        <v>19</v>
      </c>
    </row>
    <row r="14" spans="2:11" x14ac:dyDescent="0.25">
      <c r="B14" t="s">
        <v>20</v>
      </c>
      <c r="K14" t="s">
        <v>21</v>
      </c>
    </row>
    <row r="15" spans="2:11" x14ac:dyDescent="0.25">
      <c r="B15" t="s">
        <v>22</v>
      </c>
      <c r="K15" t="s">
        <v>23</v>
      </c>
    </row>
    <row r="16" spans="2:11" x14ac:dyDescent="0.25">
      <c r="B16" t="s">
        <v>24</v>
      </c>
      <c r="K16" t="s">
        <v>25</v>
      </c>
    </row>
    <row r="17" spans="2:11" x14ac:dyDescent="0.25">
      <c r="B17" t="s">
        <v>26</v>
      </c>
      <c r="K17" t="s">
        <v>27</v>
      </c>
    </row>
    <row r="18" spans="2:11" x14ac:dyDescent="0.25">
      <c r="B18" t="s">
        <v>28</v>
      </c>
      <c r="K18" t="s">
        <v>29</v>
      </c>
    </row>
    <row r="19" spans="2:11" x14ac:dyDescent="0.25">
      <c r="B19" t="s">
        <v>30</v>
      </c>
    </row>
    <row r="20" spans="2:11" x14ac:dyDescent="0.25">
      <c r="B20" t="s">
        <v>31</v>
      </c>
    </row>
    <row r="21" spans="2:11" x14ac:dyDescent="0.25">
      <c r="B21" t="s">
        <v>32</v>
      </c>
    </row>
    <row r="22" spans="2:11" x14ac:dyDescent="0.25">
      <c r="B22" t="s">
        <v>33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45"/>
  <sheetViews>
    <sheetView zoomScale="110" zoomScaleNormal="110" workbookViewId="0">
      <selection activeCell="E16" sqref="E16:F16"/>
    </sheetView>
  </sheetViews>
  <sheetFormatPr baseColWidth="10" defaultColWidth="11.42578125" defaultRowHeight="15" x14ac:dyDescent="0.25"/>
  <cols>
    <col min="1" max="1" width="2.85546875" style="87" customWidth="1"/>
    <col min="2" max="3" width="24.7109375" style="87" customWidth="1"/>
    <col min="4" max="4" width="16" style="87" customWidth="1"/>
    <col min="5" max="5" width="24.7109375" style="87" customWidth="1"/>
    <col min="6" max="6" width="27.7109375" style="87" customWidth="1"/>
    <col min="7" max="8" width="24.7109375" style="87" customWidth="1"/>
    <col min="9" max="16384" width="11.42578125" style="87"/>
  </cols>
  <sheetData>
    <row r="1" spans="2:8" ht="15.75" thickBot="1" x14ac:dyDescent="0.3"/>
    <row r="2" spans="2:8" ht="18" x14ac:dyDescent="0.25">
      <c r="B2" s="402" t="s">
        <v>34</v>
      </c>
      <c r="C2" s="403"/>
      <c r="D2" s="403"/>
      <c r="E2" s="403"/>
      <c r="F2" s="403"/>
      <c r="G2" s="403"/>
      <c r="H2" s="404"/>
    </row>
    <row r="3" spans="2:8" x14ac:dyDescent="0.25">
      <c r="B3" s="88"/>
      <c r="C3" s="89"/>
      <c r="D3" s="89"/>
      <c r="E3" s="89"/>
      <c r="F3" s="89"/>
      <c r="G3" s="89"/>
      <c r="H3" s="90"/>
    </row>
    <row r="4" spans="2:8" ht="63" customHeight="1" x14ac:dyDescent="0.25">
      <c r="B4" s="405" t="s">
        <v>35</v>
      </c>
      <c r="C4" s="406"/>
      <c r="D4" s="406"/>
      <c r="E4" s="406"/>
      <c r="F4" s="406"/>
      <c r="G4" s="406"/>
      <c r="H4" s="407"/>
    </row>
    <row r="5" spans="2:8" ht="63" customHeight="1" x14ac:dyDescent="0.25">
      <c r="B5" s="408"/>
      <c r="C5" s="409"/>
      <c r="D5" s="409"/>
      <c r="E5" s="409"/>
      <c r="F5" s="409"/>
      <c r="G5" s="409"/>
      <c r="H5" s="410"/>
    </row>
    <row r="6" spans="2:8" ht="16.5" x14ac:dyDescent="0.25">
      <c r="B6" s="411" t="s">
        <v>36</v>
      </c>
      <c r="C6" s="412"/>
      <c r="D6" s="412"/>
      <c r="E6" s="412"/>
      <c r="F6" s="412"/>
      <c r="G6" s="412"/>
      <c r="H6" s="413"/>
    </row>
    <row r="7" spans="2:8" ht="95.25" customHeight="1" x14ac:dyDescent="0.25">
      <c r="B7" s="421" t="s">
        <v>37</v>
      </c>
      <c r="C7" s="422"/>
      <c r="D7" s="422"/>
      <c r="E7" s="422"/>
      <c r="F7" s="422"/>
      <c r="G7" s="422"/>
      <c r="H7" s="423"/>
    </row>
    <row r="8" spans="2:8" ht="16.5" x14ac:dyDescent="0.25">
      <c r="B8" s="120"/>
      <c r="C8" s="121"/>
      <c r="D8" s="121"/>
      <c r="E8" s="121"/>
      <c r="F8" s="121"/>
      <c r="G8" s="121"/>
      <c r="H8" s="122"/>
    </row>
    <row r="9" spans="2:8" ht="16.5" customHeight="1" x14ac:dyDescent="0.25">
      <c r="B9" s="414" t="s">
        <v>38</v>
      </c>
      <c r="C9" s="415"/>
      <c r="D9" s="415"/>
      <c r="E9" s="415"/>
      <c r="F9" s="415"/>
      <c r="G9" s="415"/>
      <c r="H9" s="416"/>
    </row>
    <row r="10" spans="2:8" ht="44.25" customHeight="1" x14ac:dyDescent="0.25">
      <c r="B10" s="414"/>
      <c r="C10" s="415"/>
      <c r="D10" s="415"/>
      <c r="E10" s="415"/>
      <c r="F10" s="415"/>
      <c r="G10" s="415"/>
      <c r="H10" s="416"/>
    </row>
    <row r="11" spans="2:8" ht="15.75" thickBot="1" x14ac:dyDescent="0.3">
      <c r="B11" s="109"/>
      <c r="C11" s="112"/>
      <c r="D11" s="117"/>
      <c r="E11" s="118"/>
      <c r="F11" s="118"/>
      <c r="G11" s="119"/>
      <c r="H11" s="113"/>
    </row>
    <row r="12" spans="2:8" ht="15.75" thickTop="1" x14ac:dyDescent="0.25">
      <c r="B12" s="109"/>
      <c r="C12" s="417" t="s">
        <v>39</v>
      </c>
      <c r="D12" s="418"/>
      <c r="E12" s="419" t="s">
        <v>40</v>
      </c>
      <c r="F12" s="420"/>
      <c r="G12" s="112"/>
      <c r="H12" s="113"/>
    </row>
    <row r="13" spans="2:8" ht="35.25" customHeight="1" x14ac:dyDescent="0.25">
      <c r="B13" s="109"/>
      <c r="C13" s="389" t="s">
        <v>41</v>
      </c>
      <c r="D13" s="390"/>
      <c r="E13" s="391" t="s">
        <v>42</v>
      </c>
      <c r="F13" s="392"/>
      <c r="G13" s="112"/>
      <c r="H13" s="113"/>
    </row>
    <row r="14" spans="2:8" ht="17.25" customHeight="1" x14ac:dyDescent="0.25">
      <c r="B14" s="109"/>
      <c r="C14" s="389" t="s">
        <v>43</v>
      </c>
      <c r="D14" s="390"/>
      <c r="E14" s="391" t="s">
        <v>44</v>
      </c>
      <c r="F14" s="392"/>
      <c r="G14" s="112"/>
      <c r="H14" s="113"/>
    </row>
    <row r="15" spans="2:8" ht="19.5" customHeight="1" x14ac:dyDescent="0.25">
      <c r="B15" s="109"/>
      <c r="C15" s="389" t="s">
        <v>45</v>
      </c>
      <c r="D15" s="390"/>
      <c r="E15" s="391" t="s">
        <v>46</v>
      </c>
      <c r="F15" s="392"/>
      <c r="G15" s="112"/>
      <c r="H15" s="113"/>
    </row>
    <row r="16" spans="2:8" ht="69.75" customHeight="1" x14ac:dyDescent="0.25">
      <c r="B16" s="109"/>
      <c r="C16" s="389" t="s">
        <v>47</v>
      </c>
      <c r="D16" s="390"/>
      <c r="E16" s="391" t="s">
        <v>48</v>
      </c>
      <c r="F16" s="392"/>
      <c r="G16" s="112"/>
      <c r="H16" s="113"/>
    </row>
    <row r="17" spans="2:8" ht="34.5" customHeight="1" x14ac:dyDescent="0.25">
      <c r="B17" s="109"/>
      <c r="C17" s="393" t="s">
        <v>49</v>
      </c>
      <c r="D17" s="394"/>
      <c r="E17" s="385" t="s">
        <v>50</v>
      </c>
      <c r="F17" s="386"/>
      <c r="G17" s="112"/>
      <c r="H17" s="113"/>
    </row>
    <row r="18" spans="2:8" ht="27.75" customHeight="1" x14ac:dyDescent="0.25">
      <c r="B18" s="109"/>
      <c r="C18" s="393" t="s">
        <v>51</v>
      </c>
      <c r="D18" s="394"/>
      <c r="E18" s="385" t="s">
        <v>52</v>
      </c>
      <c r="F18" s="386"/>
      <c r="G18" s="112"/>
      <c r="H18" s="113"/>
    </row>
    <row r="19" spans="2:8" ht="28.5" customHeight="1" x14ac:dyDescent="0.25">
      <c r="B19" s="109"/>
      <c r="C19" s="393" t="s">
        <v>53</v>
      </c>
      <c r="D19" s="394"/>
      <c r="E19" s="385" t="s">
        <v>54</v>
      </c>
      <c r="F19" s="386"/>
      <c r="G19" s="112"/>
      <c r="H19" s="113"/>
    </row>
    <row r="20" spans="2:8" ht="72.75" customHeight="1" x14ac:dyDescent="0.25">
      <c r="B20" s="109"/>
      <c r="C20" s="393" t="s">
        <v>55</v>
      </c>
      <c r="D20" s="394"/>
      <c r="E20" s="385" t="s">
        <v>56</v>
      </c>
      <c r="F20" s="386"/>
      <c r="G20" s="112"/>
      <c r="H20" s="113"/>
    </row>
    <row r="21" spans="2:8" ht="64.5" customHeight="1" x14ac:dyDescent="0.25">
      <c r="B21" s="109"/>
      <c r="C21" s="393" t="s">
        <v>57</v>
      </c>
      <c r="D21" s="394"/>
      <c r="E21" s="385" t="s">
        <v>58</v>
      </c>
      <c r="F21" s="386"/>
      <c r="G21" s="112"/>
      <c r="H21" s="113"/>
    </row>
    <row r="22" spans="2:8" ht="71.25" customHeight="1" x14ac:dyDescent="0.25">
      <c r="B22" s="109"/>
      <c r="C22" s="393" t="s">
        <v>59</v>
      </c>
      <c r="D22" s="394"/>
      <c r="E22" s="385" t="s">
        <v>60</v>
      </c>
      <c r="F22" s="386"/>
      <c r="G22" s="112"/>
      <c r="H22" s="113"/>
    </row>
    <row r="23" spans="2:8" ht="55.5" customHeight="1" x14ac:dyDescent="0.25">
      <c r="B23" s="109"/>
      <c r="C23" s="387" t="s">
        <v>61</v>
      </c>
      <c r="D23" s="388"/>
      <c r="E23" s="385" t="s">
        <v>62</v>
      </c>
      <c r="F23" s="386"/>
      <c r="G23" s="112"/>
      <c r="H23" s="113"/>
    </row>
    <row r="24" spans="2:8" ht="42" customHeight="1" x14ac:dyDescent="0.25">
      <c r="B24" s="109"/>
      <c r="C24" s="387" t="s">
        <v>63</v>
      </c>
      <c r="D24" s="388"/>
      <c r="E24" s="385" t="s">
        <v>64</v>
      </c>
      <c r="F24" s="386"/>
      <c r="G24" s="112"/>
      <c r="H24" s="113"/>
    </row>
    <row r="25" spans="2:8" ht="59.25" customHeight="1" x14ac:dyDescent="0.25">
      <c r="B25" s="109"/>
      <c r="C25" s="387" t="s">
        <v>65</v>
      </c>
      <c r="D25" s="388"/>
      <c r="E25" s="385" t="s">
        <v>66</v>
      </c>
      <c r="F25" s="386"/>
      <c r="G25" s="112"/>
      <c r="H25" s="113"/>
    </row>
    <row r="26" spans="2:8" ht="23.25" customHeight="1" x14ac:dyDescent="0.25">
      <c r="B26" s="109"/>
      <c r="C26" s="387" t="s">
        <v>67</v>
      </c>
      <c r="D26" s="388"/>
      <c r="E26" s="385" t="s">
        <v>68</v>
      </c>
      <c r="F26" s="386"/>
      <c r="G26" s="112"/>
      <c r="H26" s="113"/>
    </row>
    <row r="27" spans="2:8" ht="30.75" customHeight="1" x14ac:dyDescent="0.25">
      <c r="B27" s="109"/>
      <c r="C27" s="387" t="s">
        <v>69</v>
      </c>
      <c r="D27" s="388"/>
      <c r="E27" s="385" t="s">
        <v>70</v>
      </c>
      <c r="F27" s="386"/>
      <c r="G27" s="112"/>
      <c r="H27" s="113"/>
    </row>
    <row r="28" spans="2:8" ht="35.25" customHeight="1" x14ac:dyDescent="0.25">
      <c r="B28" s="109"/>
      <c r="C28" s="387" t="s">
        <v>71</v>
      </c>
      <c r="D28" s="388"/>
      <c r="E28" s="385" t="s">
        <v>72</v>
      </c>
      <c r="F28" s="386"/>
      <c r="G28" s="112"/>
      <c r="H28" s="113"/>
    </row>
    <row r="29" spans="2:8" ht="33" customHeight="1" x14ac:dyDescent="0.25">
      <c r="B29" s="109"/>
      <c r="C29" s="387" t="s">
        <v>71</v>
      </c>
      <c r="D29" s="388"/>
      <c r="E29" s="385" t="s">
        <v>72</v>
      </c>
      <c r="F29" s="386"/>
      <c r="G29" s="112"/>
      <c r="H29" s="113"/>
    </row>
    <row r="30" spans="2:8" ht="30" customHeight="1" x14ac:dyDescent="0.25">
      <c r="B30" s="109"/>
      <c r="C30" s="387" t="s">
        <v>73</v>
      </c>
      <c r="D30" s="388"/>
      <c r="E30" s="385" t="s">
        <v>74</v>
      </c>
      <c r="F30" s="386"/>
      <c r="G30" s="112"/>
      <c r="H30" s="113"/>
    </row>
    <row r="31" spans="2:8" ht="35.25" customHeight="1" x14ac:dyDescent="0.25">
      <c r="B31" s="109"/>
      <c r="C31" s="387" t="s">
        <v>75</v>
      </c>
      <c r="D31" s="388"/>
      <c r="E31" s="385" t="s">
        <v>76</v>
      </c>
      <c r="F31" s="386"/>
      <c r="G31" s="112"/>
      <c r="H31" s="113"/>
    </row>
    <row r="32" spans="2:8" ht="31.5" customHeight="1" x14ac:dyDescent="0.25">
      <c r="B32" s="109"/>
      <c r="C32" s="387" t="s">
        <v>77</v>
      </c>
      <c r="D32" s="388"/>
      <c r="E32" s="385" t="s">
        <v>78</v>
      </c>
      <c r="F32" s="386"/>
      <c r="G32" s="112"/>
      <c r="H32" s="113"/>
    </row>
    <row r="33" spans="2:8" ht="35.25" customHeight="1" x14ac:dyDescent="0.25">
      <c r="B33" s="109"/>
      <c r="C33" s="387" t="s">
        <v>79</v>
      </c>
      <c r="D33" s="388"/>
      <c r="E33" s="385" t="s">
        <v>80</v>
      </c>
      <c r="F33" s="386"/>
      <c r="G33" s="112"/>
      <c r="H33" s="113"/>
    </row>
    <row r="34" spans="2:8" ht="59.25" customHeight="1" x14ac:dyDescent="0.25">
      <c r="B34" s="109"/>
      <c r="C34" s="387" t="s">
        <v>81</v>
      </c>
      <c r="D34" s="388"/>
      <c r="E34" s="385" t="s">
        <v>82</v>
      </c>
      <c r="F34" s="386"/>
      <c r="G34" s="112"/>
      <c r="H34" s="113"/>
    </row>
    <row r="35" spans="2:8" ht="29.25" customHeight="1" x14ac:dyDescent="0.25">
      <c r="B35" s="109"/>
      <c r="C35" s="387" t="s">
        <v>83</v>
      </c>
      <c r="D35" s="388"/>
      <c r="E35" s="385" t="s">
        <v>84</v>
      </c>
      <c r="F35" s="386"/>
      <c r="G35" s="112"/>
      <c r="H35" s="113"/>
    </row>
    <row r="36" spans="2:8" ht="82.5" customHeight="1" x14ac:dyDescent="0.25">
      <c r="B36" s="109"/>
      <c r="C36" s="387" t="s">
        <v>85</v>
      </c>
      <c r="D36" s="388"/>
      <c r="E36" s="385" t="s">
        <v>86</v>
      </c>
      <c r="F36" s="386"/>
      <c r="G36" s="112"/>
      <c r="H36" s="113"/>
    </row>
    <row r="37" spans="2:8" ht="46.5" customHeight="1" x14ac:dyDescent="0.25">
      <c r="B37" s="109"/>
      <c r="C37" s="387" t="s">
        <v>87</v>
      </c>
      <c r="D37" s="388"/>
      <c r="E37" s="385" t="s">
        <v>88</v>
      </c>
      <c r="F37" s="386"/>
      <c r="G37" s="112"/>
      <c r="H37" s="113"/>
    </row>
    <row r="38" spans="2:8" ht="6.75" customHeight="1" thickBot="1" x14ac:dyDescent="0.3">
      <c r="B38" s="109"/>
      <c r="C38" s="398"/>
      <c r="D38" s="399"/>
      <c r="E38" s="400"/>
      <c r="F38" s="401"/>
      <c r="G38" s="112"/>
      <c r="H38" s="113"/>
    </row>
    <row r="39" spans="2:8" ht="15.75" thickTop="1" x14ac:dyDescent="0.25">
      <c r="B39" s="109"/>
      <c r="C39" s="110"/>
      <c r="D39" s="110"/>
      <c r="E39" s="111"/>
      <c r="F39" s="111"/>
      <c r="G39" s="112"/>
      <c r="H39" s="113"/>
    </row>
    <row r="40" spans="2:8" ht="21" customHeight="1" x14ac:dyDescent="0.25">
      <c r="B40" s="395" t="s">
        <v>89</v>
      </c>
      <c r="C40" s="396"/>
      <c r="D40" s="396"/>
      <c r="E40" s="396"/>
      <c r="F40" s="396"/>
      <c r="G40" s="396"/>
      <c r="H40" s="397"/>
    </row>
    <row r="41" spans="2:8" ht="20.25" customHeight="1" x14ac:dyDescent="0.25">
      <c r="B41" s="395" t="s">
        <v>90</v>
      </c>
      <c r="C41" s="396"/>
      <c r="D41" s="396"/>
      <c r="E41" s="396"/>
      <c r="F41" s="396"/>
      <c r="G41" s="396"/>
      <c r="H41" s="397"/>
    </row>
    <row r="42" spans="2:8" ht="20.25" customHeight="1" x14ac:dyDescent="0.25">
      <c r="B42" s="395" t="s">
        <v>91</v>
      </c>
      <c r="C42" s="396"/>
      <c r="D42" s="396"/>
      <c r="E42" s="396"/>
      <c r="F42" s="396"/>
      <c r="G42" s="396"/>
      <c r="H42" s="397"/>
    </row>
    <row r="43" spans="2:8" ht="20.25" customHeight="1" x14ac:dyDescent="0.25">
      <c r="B43" s="395" t="s">
        <v>92</v>
      </c>
      <c r="C43" s="396"/>
      <c r="D43" s="396"/>
      <c r="E43" s="396"/>
      <c r="F43" s="396"/>
      <c r="G43" s="396"/>
      <c r="H43" s="397"/>
    </row>
    <row r="44" spans="2:8" x14ac:dyDescent="0.25">
      <c r="B44" s="395" t="s">
        <v>93</v>
      </c>
      <c r="C44" s="396"/>
      <c r="D44" s="396"/>
      <c r="E44" s="396"/>
      <c r="F44" s="396"/>
      <c r="G44" s="396"/>
      <c r="H44" s="397"/>
    </row>
    <row r="45" spans="2:8" ht="15.75" thickBot="1" x14ac:dyDescent="0.3">
      <c r="B45" s="114"/>
      <c r="C45" s="115"/>
      <c r="D45" s="115"/>
      <c r="E45" s="115"/>
      <c r="F45" s="115"/>
      <c r="G45" s="115"/>
      <c r="H45" s="116"/>
    </row>
  </sheetData>
  <mergeCells count="64">
    <mergeCell ref="B2:H2"/>
    <mergeCell ref="B4:H5"/>
    <mergeCell ref="B6:H6"/>
    <mergeCell ref="B9:H10"/>
    <mergeCell ref="C12:D12"/>
    <mergeCell ref="E12:F12"/>
    <mergeCell ref="B7:H7"/>
    <mergeCell ref="C13:D13"/>
    <mergeCell ref="E13:F13"/>
    <mergeCell ref="C17:D17"/>
    <mergeCell ref="E17:F17"/>
    <mergeCell ref="C21:D21"/>
    <mergeCell ref="C18:D18"/>
    <mergeCell ref="C19:D19"/>
    <mergeCell ref="C20:D20"/>
    <mergeCell ref="E18:F18"/>
    <mergeCell ref="E19:F19"/>
    <mergeCell ref="E20:F20"/>
    <mergeCell ref="E21:F21"/>
    <mergeCell ref="B42:H42"/>
    <mergeCell ref="B43:H43"/>
    <mergeCell ref="B44:H44"/>
    <mergeCell ref="E23:F23"/>
    <mergeCell ref="C23:D23"/>
    <mergeCell ref="C24:D24"/>
    <mergeCell ref="E24:F24"/>
    <mergeCell ref="C26:D26"/>
    <mergeCell ref="E26:F26"/>
    <mergeCell ref="E34:F34"/>
    <mergeCell ref="C32:D32"/>
    <mergeCell ref="C31:D31"/>
    <mergeCell ref="E31:F31"/>
    <mergeCell ref="E32:F32"/>
    <mergeCell ref="C27:D27"/>
    <mergeCell ref="E27:F27"/>
    <mergeCell ref="C33:D33"/>
    <mergeCell ref="B40:H40"/>
    <mergeCell ref="C29:D29"/>
    <mergeCell ref="E29:F29"/>
    <mergeCell ref="C30:D30"/>
    <mergeCell ref="E30:F30"/>
    <mergeCell ref="E33:F33"/>
    <mergeCell ref="C34:D34"/>
    <mergeCell ref="C35:D35"/>
    <mergeCell ref="E35:F35"/>
    <mergeCell ref="C36:D36"/>
    <mergeCell ref="E36:F36"/>
    <mergeCell ref="B41:H41"/>
    <mergeCell ref="C38:D38"/>
    <mergeCell ref="E38:F38"/>
    <mergeCell ref="C37:D37"/>
    <mergeCell ref="E37:F37"/>
    <mergeCell ref="E28:F28"/>
    <mergeCell ref="C28:D28"/>
    <mergeCell ref="C16:D16"/>
    <mergeCell ref="E16:F16"/>
    <mergeCell ref="C14:D14"/>
    <mergeCell ref="E14:F14"/>
    <mergeCell ref="C15:D15"/>
    <mergeCell ref="E15:F15"/>
    <mergeCell ref="E22:F22"/>
    <mergeCell ref="C22:D22"/>
    <mergeCell ref="C25:D25"/>
    <mergeCell ref="E25:F2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BT98"/>
  <sheetViews>
    <sheetView tabSelected="1" view="pageBreakPreview" zoomScale="51" zoomScaleNormal="28" zoomScaleSheetLayoutView="51" workbookViewId="0">
      <selection activeCell="A80" sqref="A1:XFD1048576"/>
    </sheetView>
  </sheetViews>
  <sheetFormatPr baseColWidth="10" defaultColWidth="11.42578125" defaultRowHeight="16.5" x14ac:dyDescent="0.3"/>
  <cols>
    <col min="1" max="1" width="8.7109375" style="1" customWidth="1"/>
    <col min="2" max="2" width="25.42578125" style="1" customWidth="1"/>
    <col min="3" max="3" width="20.7109375" style="1" customWidth="1"/>
    <col min="4" max="4" width="7.140625" style="1" customWidth="1"/>
    <col min="5" max="5" width="4" style="2" customWidth="1"/>
    <col min="6" max="6" width="16.85546875" style="2" customWidth="1"/>
    <col min="7" max="7" width="17.7109375" style="2" customWidth="1"/>
    <col min="8" max="8" width="24.28515625" style="2" customWidth="1"/>
    <col min="9" max="9" width="28.140625" style="1" customWidth="1"/>
    <col min="10" max="10" width="19" style="5" customWidth="1"/>
    <col min="11" max="11" width="17.85546875" style="1" customWidth="1"/>
    <col min="12" max="12" width="20.42578125" style="1" customWidth="1"/>
    <col min="13" max="13" width="6.28515625" style="1" bestFit="1" customWidth="1"/>
    <col min="14" max="14" width="31.28515625" style="1" bestFit="1" customWidth="1"/>
    <col min="15" max="15" width="42.85546875" style="1" hidden="1" customWidth="1"/>
    <col min="16" max="16" width="20" style="1" customWidth="1"/>
    <col min="17" max="17" width="10.140625" style="1" customWidth="1"/>
    <col min="18" max="18" width="16" style="1" customWidth="1"/>
    <col min="19" max="19" width="5.85546875" style="1" customWidth="1"/>
    <col min="20" max="20" width="43.42578125" style="1" customWidth="1"/>
    <col min="21" max="21" width="17.42578125" style="1" customWidth="1"/>
    <col min="22" max="22" width="6.85546875" style="1" customWidth="1"/>
    <col min="23" max="23" width="5" style="1" customWidth="1"/>
    <col min="24" max="24" width="8.42578125" style="1" customWidth="1"/>
    <col min="25" max="25" width="7.140625" style="1" customWidth="1"/>
    <col min="26" max="26" width="6.7109375" style="1" customWidth="1"/>
    <col min="27" max="27" width="7.42578125" style="1" customWidth="1"/>
    <col min="28" max="28" width="12.42578125" style="1" customWidth="1"/>
    <col min="29" max="29" width="8.7109375" style="1" customWidth="1"/>
    <col min="30" max="30" width="8.28515625" style="1" bestFit="1" customWidth="1"/>
    <col min="31" max="31" width="9.28515625" style="1" customWidth="1"/>
    <col min="32" max="32" width="9.140625" style="1" customWidth="1"/>
    <col min="33" max="33" width="8.42578125" style="1" customWidth="1"/>
    <col min="34" max="34" width="7.28515625" style="1" customWidth="1"/>
    <col min="35" max="35" width="35.7109375" style="1" customWidth="1"/>
    <col min="36" max="36" width="22.140625" style="1" customWidth="1"/>
    <col min="37" max="37" width="25" style="1" customWidth="1"/>
    <col min="38" max="38" width="19.28515625" style="1" customWidth="1"/>
    <col min="39" max="39" width="36.42578125" style="1" customWidth="1"/>
    <col min="40" max="40" width="21" style="5" customWidth="1"/>
    <col min="41" max="43" width="24.42578125" style="1" customWidth="1"/>
    <col min="44" max="48" width="11.140625" style="5" customWidth="1"/>
    <col min="49" max="16384" width="11.42578125" style="1"/>
  </cols>
  <sheetData>
    <row r="1" spans="1:72" ht="48" customHeight="1" thickBot="1" x14ac:dyDescent="0.35">
      <c r="A1" s="600"/>
      <c r="B1" s="601"/>
      <c r="C1" s="601"/>
      <c r="D1" s="601"/>
      <c r="E1" s="601"/>
      <c r="F1" s="601"/>
      <c r="G1" s="601"/>
      <c r="H1" s="602"/>
      <c r="I1" s="579" t="s">
        <v>94</v>
      </c>
      <c r="J1" s="580"/>
      <c r="K1" s="580"/>
      <c r="L1" s="580"/>
      <c r="M1" s="580"/>
      <c r="N1" s="580"/>
      <c r="O1" s="580"/>
      <c r="P1" s="580"/>
      <c r="Q1" s="580"/>
      <c r="R1" s="580"/>
      <c r="S1" s="580"/>
      <c r="T1" s="580"/>
      <c r="U1" s="580"/>
      <c r="V1" s="580"/>
      <c r="W1" s="580"/>
      <c r="X1" s="580"/>
      <c r="Y1" s="580"/>
      <c r="Z1" s="580"/>
      <c r="AA1" s="580"/>
      <c r="AB1" s="580"/>
      <c r="AC1" s="580"/>
      <c r="AD1" s="580"/>
      <c r="AE1" s="580"/>
      <c r="AF1" s="580"/>
      <c r="AG1" s="580"/>
      <c r="AH1" s="580"/>
      <c r="AI1" s="580"/>
      <c r="AJ1" s="580"/>
      <c r="AK1" s="580"/>
      <c r="AL1" s="580"/>
      <c r="AM1" s="580"/>
      <c r="AN1" s="580"/>
      <c r="AO1" s="580"/>
      <c r="AP1" s="580"/>
      <c r="AQ1" s="581"/>
      <c r="AR1" s="585" t="s">
        <v>95</v>
      </c>
      <c r="AS1" s="586"/>
      <c r="AT1" s="586"/>
      <c r="AU1" s="586"/>
      <c r="AV1" s="587"/>
      <c r="AW1" s="7"/>
      <c r="AX1" s="7"/>
      <c r="AY1" s="7"/>
      <c r="AZ1" s="7"/>
      <c r="BA1" s="7"/>
      <c r="BB1" s="7"/>
      <c r="BC1" s="7"/>
      <c r="BD1" s="7"/>
      <c r="BE1" s="7"/>
      <c r="BF1" s="7"/>
      <c r="BG1" s="7"/>
      <c r="BH1" s="7"/>
      <c r="BI1" s="7"/>
      <c r="BJ1" s="7"/>
      <c r="BK1" s="7"/>
      <c r="BL1" s="7"/>
      <c r="BM1" s="7"/>
      <c r="BN1" s="7"/>
      <c r="BO1" s="7"/>
      <c r="BP1" s="7"/>
      <c r="BQ1" s="7" t="s">
        <v>0</v>
      </c>
      <c r="BR1" s="7"/>
      <c r="BS1" s="7"/>
      <c r="BT1" s="7"/>
    </row>
    <row r="2" spans="1:72" ht="48" customHeight="1" thickBot="1" x14ac:dyDescent="0.35">
      <c r="A2" s="603"/>
      <c r="B2" s="604"/>
      <c r="C2" s="604"/>
      <c r="D2" s="604"/>
      <c r="E2" s="604"/>
      <c r="F2" s="604"/>
      <c r="G2" s="604"/>
      <c r="H2" s="605"/>
      <c r="I2" s="582"/>
      <c r="J2" s="583"/>
      <c r="K2" s="583"/>
      <c r="L2" s="583"/>
      <c r="M2" s="583"/>
      <c r="N2" s="583"/>
      <c r="O2" s="583"/>
      <c r="P2" s="583"/>
      <c r="Q2" s="583"/>
      <c r="R2" s="583"/>
      <c r="S2" s="583"/>
      <c r="T2" s="583"/>
      <c r="U2" s="583"/>
      <c r="V2" s="583"/>
      <c r="W2" s="583"/>
      <c r="X2" s="583"/>
      <c r="Y2" s="583"/>
      <c r="Z2" s="583"/>
      <c r="AA2" s="583"/>
      <c r="AB2" s="583"/>
      <c r="AC2" s="583"/>
      <c r="AD2" s="583"/>
      <c r="AE2" s="583"/>
      <c r="AF2" s="583"/>
      <c r="AG2" s="583"/>
      <c r="AH2" s="583"/>
      <c r="AI2" s="583"/>
      <c r="AJ2" s="583"/>
      <c r="AK2" s="583"/>
      <c r="AL2" s="583"/>
      <c r="AM2" s="583"/>
      <c r="AN2" s="583"/>
      <c r="AO2" s="583"/>
      <c r="AP2" s="583"/>
      <c r="AQ2" s="584"/>
      <c r="AR2" s="585" t="s">
        <v>96</v>
      </c>
      <c r="AS2" s="586"/>
      <c r="AT2" s="586"/>
      <c r="AU2" s="586"/>
      <c r="AV2" s="587"/>
      <c r="AW2" s="7"/>
      <c r="AX2" s="7"/>
      <c r="AY2" s="7"/>
      <c r="AZ2" s="7"/>
      <c r="BA2" s="7"/>
      <c r="BB2" s="7"/>
      <c r="BC2" s="7"/>
      <c r="BD2" s="7"/>
      <c r="BE2" s="7"/>
      <c r="BF2" s="7"/>
      <c r="BG2" s="7"/>
      <c r="BH2" s="7"/>
      <c r="BI2" s="7"/>
      <c r="BJ2" s="7"/>
      <c r="BK2" s="7"/>
      <c r="BL2" s="7"/>
      <c r="BM2" s="7"/>
      <c r="BN2" s="7"/>
      <c r="BO2" s="7"/>
      <c r="BP2" s="7"/>
      <c r="BQ2" s="1" t="s">
        <v>97</v>
      </c>
      <c r="BR2" s="7"/>
      <c r="BS2" s="7"/>
      <c r="BT2" s="7"/>
    </row>
    <row r="3" spans="1:72" ht="48" customHeight="1" thickBot="1" x14ac:dyDescent="0.35">
      <c r="A3" s="603"/>
      <c r="B3" s="604"/>
      <c r="C3" s="604"/>
      <c r="D3" s="604"/>
      <c r="E3" s="604"/>
      <c r="F3" s="604"/>
      <c r="G3" s="604"/>
      <c r="H3" s="605"/>
      <c r="I3" s="582"/>
      <c r="J3" s="583"/>
      <c r="K3" s="583"/>
      <c r="L3" s="583"/>
      <c r="M3" s="583"/>
      <c r="N3" s="583"/>
      <c r="O3" s="583"/>
      <c r="P3" s="583"/>
      <c r="Q3" s="583"/>
      <c r="R3" s="583"/>
      <c r="S3" s="583"/>
      <c r="T3" s="583"/>
      <c r="U3" s="583"/>
      <c r="V3" s="583"/>
      <c r="W3" s="583"/>
      <c r="X3" s="583"/>
      <c r="Y3" s="583"/>
      <c r="Z3" s="583"/>
      <c r="AA3" s="583"/>
      <c r="AB3" s="583"/>
      <c r="AC3" s="583"/>
      <c r="AD3" s="583"/>
      <c r="AE3" s="583"/>
      <c r="AF3" s="583"/>
      <c r="AG3" s="583"/>
      <c r="AH3" s="583"/>
      <c r="AI3" s="583"/>
      <c r="AJ3" s="583"/>
      <c r="AK3" s="583"/>
      <c r="AL3" s="583"/>
      <c r="AM3" s="583"/>
      <c r="AN3" s="583"/>
      <c r="AO3" s="583"/>
      <c r="AP3" s="583"/>
      <c r="AQ3" s="584"/>
      <c r="AR3" s="588" t="s">
        <v>98</v>
      </c>
      <c r="AS3" s="589"/>
      <c r="AT3" s="589"/>
      <c r="AU3" s="589"/>
      <c r="AV3" s="590"/>
      <c r="AW3" s="7"/>
      <c r="AX3" s="7"/>
      <c r="AY3" s="7"/>
      <c r="AZ3" s="7"/>
      <c r="BA3" s="7"/>
      <c r="BB3" s="7"/>
      <c r="BC3" s="7"/>
      <c r="BD3" s="7"/>
      <c r="BE3" s="7"/>
      <c r="BF3" s="7"/>
      <c r="BG3" s="7"/>
      <c r="BH3" s="7"/>
      <c r="BI3" s="7"/>
      <c r="BJ3" s="7"/>
      <c r="BK3" s="7"/>
      <c r="BL3" s="7"/>
      <c r="BM3" s="7"/>
      <c r="BN3" s="7"/>
      <c r="BO3" s="7"/>
      <c r="BP3" s="7"/>
      <c r="BQ3" s="7" t="s">
        <v>99</v>
      </c>
      <c r="BR3" s="7"/>
      <c r="BS3" s="7"/>
      <c r="BT3" s="7"/>
    </row>
    <row r="4" spans="1:72" ht="33" customHeight="1" thickBot="1" x14ac:dyDescent="0.4">
      <c r="A4" s="537" t="s">
        <v>590</v>
      </c>
      <c r="B4" s="538"/>
      <c r="C4" s="538"/>
      <c r="D4" s="538"/>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9"/>
      <c r="AW4" s="7"/>
      <c r="AX4" s="7"/>
      <c r="AY4" s="7"/>
      <c r="AZ4" s="7"/>
      <c r="BA4" s="7"/>
      <c r="BB4" s="7"/>
      <c r="BC4" s="7"/>
      <c r="BD4" s="7"/>
      <c r="BE4" s="7"/>
      <c r="BF4" s="7"/>
      <c r="BG4" s="7"/>
      <c r="BH4" s="7"/>
      <c r="BI4" s="7"/>
      <c r="BJ4" s="7"/>
      <c r="BK4" s="7"/>
      <c r="BL4" s="7"/>
      <c r="BM4" s="7"/>
      <c r="BN4" s="7"/>
      <c r="BO4" s="7"/>
      <c r="BP4" s="7"/>
      <c r="BQ4" s="7"/>
      <c r="BR4" s="7"/>
      <c r="BS4" s="7"/>
      <c r="BT4" s="7"/>
    </row>
    <row r="5" spans="1:72" ht="133.5" customHeight="1" x14ac:dyDescent="0.3">
      <c r="A5" s="594" t="s">
        <v>100</v>
      </c>
      <c r="B5" s="560"/>
      <c r="C5" s="560"/>
      <c r="D5" s="560"/>
      <c r="E5" s="560"/>
      <c r="F5" s="560"/>
      <c r="G5" s="560"/>
      <c r="H5" s="560"/>
      <c r="I5" s="560"/>
      <c r="J5" s="560"/>
      <c r="K5" s="560"/>
      <c r="L5" s="560"/>
      <c r="M5" s="560"/>
      <c r="N5" s="560"/>
      <c r="O5" s="560"/>
      <c r="P5" s="560"/>
      <c r="Q5" s="560"/>
      <c r="R5" s="560"/>
      <c r="S5" s="560"/>
      <c r="T5" s="560"/>
      <c r="U5" s="560"/>
      <c r="V5" s="560"/>
      <c r="W5" s="560"/>
      <c r="X5" s="560"/>
      <c r="Y5" s="560"/>
      <c r="Z5" s="560"/>
      <c r="AA5" s="560"/>
      <c r="AB5" s="560"/>
      <c r="AC5" s="560"/>
      <c r="AD5" s="560"/>
      <c r="AE5" s="560"/>
      <c r="AF5" s="560"/>
      <c r="AG5" s="560"/>
      <c r="AH5" s="560"/>
      <c r="AI5" s="595" t="s">
        <v>101</v>
      </c>
      <c r="AJ5" s="563"/>
      <c r="AK5" s="563"/>
      <c r="AL5" s="563"/>
      <c r="AM5" s="563"/>
      <c r="AN5" s="551"/>
      <c r="AO5" s="595" t="s">
        <v>102</v>
      </c>
      <c r="AP5" s="563"/>
      <c r="AQ5" s="563"/>
      <c r="AR5" s="563"/>
      <c r="AS5" s="563"/>
      <c r="AT5" s="563"/>
      <c r="AU5" s="563"/>
      <c r="AV5" s="563"/>
      <c r="AW5" s="7"/>
      <c r="AX5" s="7"/>
      <c r="AY5" s="7"/>
      <c r="AZ5" s="7"/>
      <c r="BA5" s="7"/>
      <c r="BB5" s="7"/>
      <c r="BC5" s="7"/>
      <c r="BD5" s="7"/>
      <c r="BE5" s="7"/>
      <c r="BF5" s="7"/>
      <c r="BG5" s="7"/>
      <c r="BH5" s="7"/>
      <c r="BI5" s="7"/>
      <c r="BJ5" s="7"/>
      <c r="BK5" s="7"/>
      <c r="BL5" s="7"/>
      <c r="BM5" s="7"/>
      <c r="BN5" s="7"/>
      <c r="BO5" s="7"/>
      <c r="BP5" s="7"/>
      <c r="BQ5" s="7" t="s">
        <v>103</v>
      </c>
      <c r="BR5" s="7"/>
      <c r="BS5" s="7"/>
      <c r="BT5" s="7"/>
    </row>
    <row r="6" spans="1:72" ht="30" customHeight="1" x14ac:dyDescent="0.3">
      <c r="A6" s="566" t="s">
        <v>104</v>
      </c>
      <c r="B6" s="567"/>
      <c r="C6" s="567"/>
      <c r="D6" s="567"/>
      <c r="E6" s="567"/>
      <c r="F6" s="567"/>
      <c r="G6" s="567"/>
      <c r="H6" s="567"/>
      <c r="I6" s="567"/>
      <c r="J6" s="567"/>
      <c r="K6" s="568"/>
      <c r="L6" s="540" t="s">
        <v>105</v>
      </c>
      <c r="M6" s="540"/>
      <c r="N6" s="540"/>
      <c r="O6" s="540"/>
      <c r="P6" s="540"/>
      <c r="Q6" s="540"/>
      <c r="R6" s="541"/>
      <c r="S6" s="542" t="s">
        <v>106</v>
      </c>
      <c r="T6" s="540"/>
      <c r="U6" s="540"/>
      <c r="V6" s="540"/>
      <c r="W6" s="540"/>
      <c r="X6" s="540"/>
      <c r="Y6" s="540"/>
      <c r="Z6" s="540"/>
      <c r="AA6" s="541"/>
      <c r="AB6" s="542" t="s">
        <v>107</v>
      </c>
      <c r="AC6" s="540"/>
      <c r="AD6" s="540"/>
      <c r="AE6" s="540"/>
      <c r="AF6" s="540"/>
      <c r="AG6" s="540"/>
      <c r="AH6" s="541"/>
      <c r="AI6" s="542" t="s">
        <v>108</v>
      </c>
      <c r="AJ6" s="540"/>
      <c r="AK6" s="540"/>
      <c r="AL6" s="540"/>
      <c r="AM6" s="540"/>
      <c r="AN6" s="541"/>
      <c r="AO6" s="591" t="s">
        <v>109</v>
      </c>
      <c r="AP6" s="592"/>
      <c r="AQ6" s="593"/>
      <c r="AR6" s="596" t="s">
        <v>110</v>
      </c>
      <c r="AS6" s="597"/>
      <c r="AT6" s="597"/>
      <c r="AU6" s="597"/>
      <c r="AV6" s="598"/>
      <c r="AW6" s="7"/>
      <c r="AX6" s="7"/>
      <c r="AY6" s="7"/>
      <c r="AZ6" s="7"/>
      <c r="BA6" s="7"/>
      <c r="BB6" s="7"/>
      <c r="BC6" s="7"/>
      <c r="BD6" s="7"/>
      <c r="BE6" s="7"/>
      <c r="BF6" s="7"/>
      <c r="BG6" s="7"/>
      <c r="BH6" s="7"/>
      <c r="BI6" s="7"/>
      <c r="BJ6" s="7"/>
      <c r="BK6" s="7"/>
      <c r="BL6" s="7"/>
      <c r="BM6" s="7"/>
      <c r="BN6" s="7"/>
      <c r="BO6" s="7"/>
      <c r="BP6" s="7"/>
      <c r="BQ6" s="7" t="s">
        <v>4</v>
      </c>
      <c r="BR6" s="7"/>
      <c r="BS6" s="7"/>
      <c r="BT6" s="7"/>
    </row>
    <row r="7" spans="1:72" ht="29.25" customHeight="1" x14ac:dyDescent="0.3">
      <c r="A7" s="569" t="s">
        <v>41</v>
      </c>
      <c r="B7" s="571" t="s">
        <v>43</v>
      </c>
      <c r="C7" s="573" t="s">
        <v>45</v>
      </c>
      <c r="D7" s="575" t="s">
        <v>111</v>
      </c>
      <c r="E7" s="577" t="s">
        <v>112</v>
      </c>
      <c r="F7" s="542" t="s">
        <v>49</v>
      </c>
      <c r="G7" s="548" t="s">
        <v>51</v>
      </c>
      <c r="H7" s="563" t="s">
        <v>53</v>
      </c>
      <c r="I7" s="548" t="s">
        <v>55</v>
      </c>
      <c r="J7" s="559" t="s">
        <v>57</v>
      </c>
      <c r="K7" s="548" t="s">
        <v>113</v>
      </c>
      <c r="L7" s="550" t="s">
        <v>114</v>
      </c>
      <c r="M7" s="552" t="s">
        <v>115</v>
      </c>
      <c r="N7" s="561" t="s">
        <v>116</v>
      </c>
      <c r="O7" s="561" t="s">
        <v>117</v>
      </c>
      <c r="P7" s="553" t="s">
        <v>118</v>
      </c>
      <c r="Q7" s="552" t="s">
        <v>115</v>
      </c>
      <c r="R7" s="562" t="s">
        <v>63</v>
      </c>
      <c r="S7" s="544" t="s">
        <v>119</v>
      </c>
      <c r="T7" s="543" t="s">
        <v>65</v>
      </c>
      <c r="U7" s="561" t="s">
        <v>67</v>
      </c>
      <c r="V7" s="543" t="s">
        <v>120</v>
      </c>
      <c r="W7" s="543"/>
      <c r="X7" s="543"/>
      <c r="Y7" s="543"/>
      <c r="Z7" s="543"/>
      <c r="AA7" s="543"/>
      <c r="AB7" s="546" t="s">
        <v>121</v>
      </c>
      <c r="AC7" s="546" t="s">
        <v>122</v>
      </c>
      <c r="AD7" s="546" t="s">
        <v>115</v>
      </c>
      <c r="AE7" s="546" t="s">
        <v>123</v>
      </c>
      <c r="AF7" s="546" t="s">
        <v>115</v>
      </c>
      <c r="AG7" s="546" t="s">
        <v>124</v>
      </c>
      <c r="AH7" s="544" t="s">
        <v>83</v>
      </c>
      <c r="AI7" s="543" t="s">
        <v>125</v>
      </c>
      <c r="AJ7" s="543" t="s">
        <v>126</v>
      </c>
      <c r="AK7" s="543" t="s">
        <v>127</v>
      </c>
      <c r="AL7" s="543" t="s">
        <v>128</v>
      </c>
      <c r="AM7" s="543" t="s">
        <v>129</v>
      </c>
      <c r="AN7" s="543" t="s">
        <v>87</v>
      </c>
      <c r="AO7" s="591" t="s">
        <v>130</v>
      </c>
      <c r="AP7" s="592"/>
      <c r="AQ7" s="593"/>
      <c r="AR7" s="599"/>
      <c r="AS7" s="563"/>
      <c r="AT7" s="563"/>
      <c r="AU7" s="563"/>
      <c r="AV7" s="551"/>
      <c r="AW7" s="7"/>
      <c r="AX7" s="7"/>
      <c r="AY7" s="7"/>
      <c r="AZ7" s="7"/>
      <c r="BA7" s="7"/>
      <c r="BB7" s="7"/>
      <c r="BC7" s="7"/>
      <c r="BD7" s="7"/>
      <c r="BE7" s="7"/>
      <c r="BF7" s="7"/>
      <c r="BG7" s="7"/>
      <c r="BH7" s="7"/>
      <c r="BI7" s="7"/>
      <c r="BJ7" s="7"/>
      <c r="BK7" s="7"/>
      <c r="BL7" s="7"/>
      <c r="BM7" s="7"/>
      <c r="BN7" s="7"/>
      <c r="BO7" s="7"/>
      <c r="BP7" s="7"/>
      <c r="BQ7" s="7" t="s">
        <v>8</v>
      </c>
      <c r="BR7" s="7"/>
      <c r="BS7" s="7"/>
      <c r="BT7" s="7"/>
    </row>
    <row r="8" spans="1:72" s="4" customFormat="1" ht="378" customHeight="1" x14ac:dyDescent="0.25">
      <c r="A8" s="570"/>
      <c r="B8" s="572"/>
      <c r="C8" s="574"/>
      <c r="D8" s="576"/>
      <c r="E8" s="578"/>
      <c r="F8" s="547"/>
      <c r="G8" s="549"/>
      <c r="H8" s="564"/>
      <c r="I8" s="549"/>
      <c r="J8" s="560"/>
      <c r="K8" s="549"/>
      <c r="L8" s="551"/>
      <c r="M8" s="542"/>
      <c r="N8" s="562"/>
      <c r="O8" s="562"/>
      <c r="P8" s="542"/>
      <c r="Q8" s="542"/>
      <c r="R8" s="543"/>
      <c r="S8" s="545"/>
      <c r="T8" s="543"/>
      <c r="U8" s="562"/>
      <c r="V8" s="123" t="s">
        <v>131</v>
      </c>
      <c r="W8" s="123" t="s">
        <v>132</v>
      </c>
      <c r="X8" s="123" t="s">
        <v>133</v>
      </c>
      <c r="Y8" s="123" t="s">
        <v>134</v>
      </c>
      <c r="Z8" s="123" t="s">
        <v>135</v>
      </c>
      <c r="AA8" s="123" t="s">
        <v>136</v>
      </c>
      <c r="AB8" s="546"/>
      <c r="AC8" s="546"/>
      <c r="AD8" s="546"/>
      <c r="AE8" s="546"/>
      <c r="AF8" s="546"/>
      <c r="AG8" s="546"/>
      <c r="AH8" s="545"/>
      <c r="AI8" s="543"/>
      <c r="AJ8" s="543"/>
      <c r="AK8" s="543"/>
      <c r="AL8" s="543"/>
      <c r="AM8" s="543"/>
      <c r="AN8" s="543"/>
      <c r="AO8" s="295" t="s">
        <v>137</v>
      </c>
      <c r="AP8" s="295" t="s">
        <v>138</v>
      </c>
      <c r="AQ8" s="295" t="s">
        <v>139</v>
      </c>
      <c r="AR8" s="126" t="s">
        <v>140</v>
      </c>
      <c r="AS8" s="127" t="s">
        <v>141</v>
      </c>
      <c r="AT8" s="128" t="s">
        <v>142</v>
      </c>
      <c r="AU8" s="129" t="s">
        <v>143</v>
      </c>
      <c r="AV8" s="130" t="s">
        <v>144</v>
      </c>
      <c r="AW8" s="25"/>
      <c r="AX8" s="25"/>
      <c r="AY8" s="25"/>
      <c r="AZ8" s="25"/>
      <c r="BA8" s="25"/>
      <c r="BB8" s="25"/>
      <c r="BC8" s="25"/>
      <c r="BD8" s="25"/>
      <c r="BE8" s="25"/>
      <c r="BF8" s="25"/>
      <c r="BG8" s="25"/>
      <c r="BH8" s="25"/>
      <c r="BI8" s="25"/>
      <c r="BJ8" s="25"/>
      <c r="BK8" s="25"/>
      <c r="BL8" s="25"/>
      <c r="BM8" s="25"/>
      <c r="BN8" s="25"/>
      <c r="BO8" s="25"/>
      <c r="BP8" s="25"/>
      <c r="BQ8" s="25" t="s">
        <v>10</v>
      </c>
      <c r="BR8" s="25"/>
      <c r="BS8" s="25"/>
      <c r="BT8" s="25"/>
    </row>
    <row r="9" spans="1:72" s="3" customFormat="1" ht="176.25" customHeight="1" x14ac:dyDescent="0.25">
      <c r="A9" s="531" t="s">
        <v>9</v>
      </c>
      <c r="B9" s="527" t="s">
        <v>145</v>
      </c>
      <c r="C9" s="527" t="s">
        <v>146</v>
      </c>
      <c r="D9" s="520" t="s">
        <v>8</v>
      </c>
      <c r="E9" s="491">
        <v>1</v>
      </c>
      <c r="F9" s="426" t="s">
        <v>147</v>
      </c>
      <c r="G9" s="426" t="s">
        <v>148</v>
      </c>
      <c r="H9" s="426" t="s">
        <v>149</v>
      </c>
      <c r="I9" s="426" t="s">
        <v>150</v>
      </c>
      <c r="J9" s="426" t="s">
        <v>151</v>
      </c>
      <c r="K9" s="424">
        <v>1301</v>
      </c>
      <c r="L9" s="428" t="str">
        <f>IF(K9&lt;=0,"",IF(K9&lt;=2,"Muy Baja",IF(K9&lt;=24,"Baja",IF(K9&lt;=500,"Media",IF(K9&lt;=5000,"Alta","Muy Alta")))))</f>
        <v>Alta</v>
      </c>
      <c r="M9" s="430">
        <f>IF(L9="","",IF(L9="Muy Baja",0.2,IF(L9="Baja",0.4,IF(L9="Media",0.6,IF(L9="Alta",0.8,IF(L9="Muy Alta",1,))))))</f>
        <v>0.8</v>
      </c>
      <c r="N9" s="555" t="s">
        <v>152</v>
      </c>
      <c r="O9" s="430" t="str">
        <f ca="1">IF(NOT(ISERROR(MATCH(N9,_xlfn.ANCHORARRAY(I9),0))),M9&amp;"Por favor no seleccionar los criterios de impacto",N9)</f>
        <v xml:space="preserve">     El riesgo afecta la imagen de la entidad con algunos usuarios de relevancia frente al logro de los objetivos</v>
      </c>
      <c r="P9" s="428" t="str">
        <f ca="1">IF(OR(O9='[1]Tabla Impacto'!$C$11,O9='[1]Tabla Impacto'!$D$11),"Leve",IF(OR(O9='[1]Tabla Impacto'!$C$12,O9='[1]Tabla Impacto'!$D$12),"Menor",IF(OR(O9='[1]Tabla Impacto'!$C$13,O9='[1]Tabla Impacto'!$D$13),"Moderado",IF(OR(O9='[1]Tabla Impacto'!$C$14,O9='[1]Tabla Impacto'!$D$14),"Mayor",IF(OR(O9='[1]Tabla Impacto'!$C$15,O9='[1]Tabla Impacto'!$D$15),"Catastrófico","")))))</f>
        <v>Moderado</v>
      </c>
      <c r="Q9" s="430">
        <f ca="1">IF(P9="","",IF(P9="Leve",0.2,IF(P9="Menor",0.4,IF(P9="Moderado",0.6,IF(P9="Mayor",0.8,IF(P9="Catastrófico",1,))))))</f>
        <v>0.6</v>
      </c>
      <c r="R9" s="484" t="str">
        <f ca="1">IF(OR(AND(L9="Muy Baja",P9="Leve"),AND(L9="Muy Baja",P9="Menor"),AND(L9="Baja",P9="Leve")),"Bajo",IF(OR(AND(L9="Muy baja",P9="Moderado"),AND(L9="Baja",P9="Menor"),AND(L9="Baja",P9="Moderado"),AND(L9="Media",P9="Leve"),AND(L9="Media",P9="Menor"),AND(L9="Media",P9="Moderado"),AND(L9="Alta",P9="Leve"),AND(L9="Alta",P9="Menor")),"Moderado",IF(OR(AND(L9="Muy Baja",P9="Mayor"),AND(L9="Baja",P9="Mayor"),AND(L9="Media",P9="Mayor"),AND(L9="Alta",P9="Moderado"),AND(L9="Alta",P9="Mayor"),AND(L9="Muy Alta",P9="Leve"),AND(L9="Muy Alta",P9="Menor"),AND(L9="Muy Alta",P9="Moderado"),AND(L9="Muy Alta",P9="Mayor")),"Alto",IF(OR(AND(L9="Muy Baja",P9="Catastrófico"),AND(L9="Baja",P9="Catastrófico"),AND(L9="Media",P9="Catastrófico"),AND(L9="Alta",P9="Catastrófico"),AND(L9="Muy Alta",P9="Catastrófico")),"Extremo",""))))</f>
        <v>Alto</v>
      </c>
      <c r="S9" s="125">
        <v>1</v>
      </c>
      <c r="T9" s="259" t="s">
        <v>153</v>
      </c>
      <c r="U9" s="260" t="s">
        <v>154</v>
      </c>
      <c r="V9" s="261" t="s">
        <v>155</v>
      </c>
      <c r="W9" s="261" t="s">
        <v>156</v>
      </c>
      <c r="X9" s="262" t="str">
        <f t="shared" ref="X9:X15" si="0">IF(AND(V9="Preventivo",W9="Automático"),"50%",IF(AND(V9="Preventivo",W9="Manual"),"40%",IF(AND(V9="Detectivo",W9="Automático"),"40%",IF(AND(V9="Detectivo",W9="Manual"),"30%",IF(AND(V9="Correctivo",W9="Automático"),"35%",IF(AND(V9="Correctivo",W9="Manual"),"25%",""))))))</f>
        <v>40%</v>
      </c>
      <c r="Y9" s="261" t="s">
        <v>157</v>
      </c>
      <c r="Z9" s="261" t="s">
        <v>158</v>
      </c>
      <c r="AA9" s="261" t="s">
        <v>159</v>
      </c>
      <c r="AB9" s="263">
        <f>IFERROR(IF(U9="Probabilidad",(M9-(+M9*X9)),IF(U9="Impacto",M9,"")),"")</f>
        <v>0.48</v>
      </c>
      <c r="AC9" s="269" t="str">
        <f t="shared" ref="AC9:AC15" si="1">IFERROR(IF(AB9="","",IF(AB9&lt;=0.2,"Muy Baja",IF(AB9&lt;=0.4,"Baja",IF(AB9&lt;=0.6,"Media",IF(AB9&lt;=0.8,"Alta","Muy Alta"))))),"")</f>
        <v>Media</v>
      </c>
      <c r="AD9" s="264">
        <f t="shared" ref="AD9:AD15" si="2">+AB9</f>
        <v>0.48</v>
      </c>
      <c r="AE9" s="269" t="str">
        <f t="shared" ref="AE9:AE15" ca="1" si="3">IFERROR(IF(AF9="","",IF(AF9&lt;=0.2,"Leve",IF(AF9&lt;=0.4,"Menor",IF(AF9&lt;=0.6,"Moderado",IF(AF9&lt;=0.8,"Mayor","Catastrófico"))))),"")</f>
        <v>Moderado</v>
      </c>
      <c r="AF9" s="264">
        <f ca="1">IFERROR(IF(U9="Impacto",(Q9-(+Q9*X9)),IF(U9="Probabilidad",Q9,"")),"")</f>
        <v>0.6</v>
      </c>
      <c r="AG9" s="265" t="str">
        <f t="shared" ref="AG9:AG15" ca="1" si="4">IFERROR(IF(OR(AND(AC9="Muy Baja",AE9="Leve"),AND(AC9="Muy Baja",AE9="Menor"),AND(AC9="Baja",AE9="Leve")),"Bajo",IF(OR(AND(AC9="Muy baja",AE9="Moderado"),AND(AC9="Baja",AE9="Menor"),AND(AC9="Baja",AE9="Moderado"),AND(AC9="Media",AE9="Leve"),AND(AC9="Media",AE9="Menor"),AND(AC9="Media",AE9="Moderado"),AND(AC9="Alta",AE9="Leve"),AND(AC9="Alta",AE9="Menor")),"Moderado",IF(OR(AND(AC9="Muy Baja",AE9="Mayor"),AND(AC9="Baja",AE9="Mayor"),AND(AC9="Media",AE9="Mayor"),AND(AC9="Alta",AE9="Moderado"),AND(AC9="Alta",AE9="Mayor"),AND(AC9="Muy Alta",AE9="Leve"),AND(AC9="Muy Alta",AE9="Menor"),AND(AC9="Muy Alta",AE9="Moderado"),AND(AC9="Muy Alta",AE9="Mayor")),"Alto",IF(OR(AND(AC9="Muy Baja",AE9="Catastrófico"),AND(AC9="Baja",AE9="Catastrófico"),AND(AC9="Media",AE9="Catastrófico"),AND(AC9="Alta",AE9="Catastrófico"),AND(AC9="Muy Alta",AE9="Catastrófico")),"Extremo","")))),"")</f>
        <v>Moderado</v>
      </c>
      <c r="AH9" s="266" t="s">
        <v>160</v>
      </c>
      <c r="AI9" s="187" t="s">
        <v>161</v>
      </c>
      <c r="AJ9" s="187" t="s">
        <v>162</v>
      </c>
      <c r="AK9" s="139" t="s">
        <v>163</v>
      </c>
      <c r="AL9" s="140" t="s">
        <v>164</v>
      </c>
      <c r="AM9" s="131"/>
      <c r="AN9" s="277" t="s">
        <v>165</v>
      </c>
      <c r="AO9" s="468"/>
      <c r="AP9" s="468"/>
      <c r="AQ9" s="468"/>
      <c r="AR9" s="277" t="s">
        <v>166</v>
      </c>
      <c r="AS9" s="277"/>
      <c r="AT9" s="277" t="s">
        <v>166</v>
      </c>
      <c r="AU9" s="277" t="s">
        <v>166</v>
      </c>
      <c r="AV9" s="277" t="s">
        <v>166</v>
      </c>
      <c r="AW9" s="26"/>
      <c r="AX9" s="26"/>
      <c r="AY9" s="26"/>
      <c r="AZ9" s="26"/>
      <c r="BA9" s="26"/>
      <c r="BB9" s="26"/>
      <c r="BC9" s="26"/>
      <c r="BD9" s="26"/>
      <c r="BE9" s="26"/>
      <c r="BF9" s="26"/>
      <c r="BG9" s="26"/>
      <c r="BH9" s="26"/>
      <c r="BI9" s="26"/>
      <c r="BJ9" s="26"/>
      <c r="BK9" s="26"/>
      <c r="BL9" s="26"/>
      <c r="BM9" s="26"/>
      <c r="BN9" s="26"/>
      <c r="BO9" s="26"/>
      <c r="BP9" s="26"/>
      <c r="BQ9" s="26" t="s">
        <v>167</v>
      </c>
      <c r="BR9" s="26"/>
      <c r="BS9" s="26"/>
      <c r="BT9" s="26"/>
    </row>
    <row r="10" spans="1:72" s="3" customFormat="1" ht="254.25" customHeight="1" x14ac:dyDescent="0.25">
      <c r="A10" s="531"/>
      <c r="B10" s="533"/>
      <c r="C10" s="521"/>
      <c r="D10" s="521"/>
      <c r="E10" s="522"/>
      <c r="F10" s="427"/>
      <c r="G10" s="427"/>
      <c r="H10" s="427"/>
      <c r="I10" s="427"/>
      <c r="J10" s="427"/>
      <c r="K10" s="424"/>
      <c r="L10" s="429"/>
      <c r="M10" s="431"/>
      <c r="N10" s="473"/>
      <c r="O10" s="481"/>
      <c r="P10" s="429"/>
      <c r="Q10" s="431"/>
      <c r="R10" s="486"/>
      <c r="S10" s="125">
        <v>2</v>
      </c>
      <c r="T10" s="259" t="s">
        <v>168</v>
      </c>
      <c r="U10" s="260" t="s">
        <v>154</v>
      </c>
      <c r="V10" s="261" t="s">
        <v>169</v>
      </c>
      <c r="W10" s="261" t="s">
        <v>156</v>
      </c>
      <c r="X10" s="262" t="str">
        <f t="shared" si="0"/>
        <v>30%</v>
      </c>
      <c r="Y10" s="261" t="s">
        <v>157</v>
      </c>
      <c r="Z10" s="261" t="s">
        <v>158</v>
      </c>
      <c r="AA10" s="261" t="s">
        <v>159</v>
      </c>
      <c r="AB10" s="263">
        <f>IFERROR(IF(U10="Probabilidad",(AB9-(+AB9*X10)),IF(U10="Impacto",AB9,"")),"")</f>
        <v>0.33599999999999997</v>
      </c>
      <c r="AC10" s="269" t="str">
        <f t="shared" si="1"/>
        <v>Baja</v>
      </c>
      <c r="AD10" s="124">
        <f t="shared" si="2"/>
        <v>0.33599999999999997</v>
      </c>
      <c r="AE10" s="269" t="str">
        <f t="shared" ca="1" si="3"/>
        <v>Moderado</v>
      </c>
      <c r="AF10" s="264">
        <f ca="1">IFERROR(IF(U10="Impacto",(Q9-(+Q9*X10)),IF(U10="Probabilidad",Q9,"")),"")</f>
        <v>0.6</v>
      </c>
      <c r="AG10" s="265" t="str">
        <f t="shared" ca="1" si="4"/>
        <v>Moderado</v>
      </c>
      <c r="AH10" s="266" t="s">
        <v>160</v>
      </c>
      <c r="AI10" s="138" t="s">
        <v>170</v>
      </c>
      <c r="AJ10" s="187" t="s">
        <v>8</v>
      </c>
      <c r="AK10" s="140" t="s">
        <v>171</v>
      </c>
      <c r="AL10" s="140" t="s">
        <v>164</v>
      </c>
      <c r="AM10" s="260"/>
      <c r="AN10" s="277" t="s">
        <v>165</v>
      </c>
      <c r="AO10" s="425"/>
      <c r="AP10" s="425"/>
      <c r="AQ10" s="425"/>
      <c r="AR10" s="277" t="s">
        <v>166</v>
      </c>
      <c r="AS10" s="277"/>
      <c r="AT10" s="277" t="s">
        <v>166</v>
      </c>
      <c r="AU10" s="277" t="s">
        <v>166</v>
      </c>
      <c r="AV10" s="277" t="s">
        <v>166</v>
      </c>
      <c r="AW10" s="26"/>
      <c r="AX10" s="26"/>
      <c r="AY10" s="26"/>
      <c r="AZ10" s="26"/>
      <c r="BA10" s="26"/>
      <c r="BB10" s="26"/>
      <c r="BC10" s="26"/>
      <c r="BD10" s="26"/>
      <c r="BE10" s="26"/>
      <c r="BF10" s="26"/>
      <c r="BG10" s="26"/>
      <c r="BH10" s="26"/>
      <c r="BI10" s="26"/>
      <c r="BJ10" s="26"/>
      <c r="BK10" s="26"/>
      <c r="BL10" s="26"/>
      <c r="BM10" s="26"/>
      <c r="BN10" s="26"/>
      <c r="BO10" s="26"/>
      <c r="BP10" s="26"/>
      <c r="BQ10" s="26" t="s">
        <v>16</v>
      </c>
      <c r="BR10" s="26"/>
      <c r="BS10" s="26"/>
      <c r="BT10" s="26"/>
    </row>
    <row r="11" spans="1:72" ht="204.75" customHeight="1" x14ac:dyDescent="0.3">
      <c r="A11" s="531"/>
      <c r="B11" s="533"/>
      <c r="C11" s="521"/>
      <c r="D11" s="521"/>
      <c r="E11" s="490">
        <v>2</v>
      </c>
      <c r="F11" s="466" t="s">
        <v>172</v>
      </c>
      <c r="G11" s="466" t="s">
        <v>173</v>
      </c>
      <c r="H11" s="466" t="s">
        <v>174</v>
      </c>
      <c r="I11" s="466" t="s">
        <v>175</v>
      </c>
      <c r="J11" s="426" t="s">
        <v>151</v>
      </c>
      <c r="K11" s="468">
        <v>1021</v>
      </c>
      <c r="L11" s="428" t="str">
        <f t="shared" ref="L11" si="5">IF(K11&lt;=0,"",IF(K11&lt;=2,"Muy Baja",IF(K11&lt;=24,"Baja",IF(K11&lt;=500,"Media",IF(K11&lt;=5000,"Alta","Muy Alta")))))</f>
        <v>Alta</v>
      </c>
      <c r="M11" s="430">
        <f>IF(L11="","",IF(L11="Muy Baja",0.2,IF(L11="Baja",0.4,IF(L11="Media",0.6,IF(L11="Alta",0.8,IF(L11="Muy Alta",1,))))))</f>
        <v>0.8</v>
      </c>
      <c r="N11" s="473" t="str">
        <f>'Tabla Impacto'!D7</f>
        <v>El riesgo afecta la imagen de de la entidad con efecto publicitario sostenido a nivel de sector administrativo, nivel departamental o municipal</v>
      </c>
      <c r="O11" s="430" t="str">
        <f>IF(NOT(ISERROR(MATCH(N11,'Tabla Impacto'!$B$210:$B$219,0))),'Tabla Impacto'!$F$210&amp;"Por favor no seleccionar los criterios de impacto(Afectación Económica o presupuestal y Pérdida Reputacional)",N11)</f>
        <v>El riesgo afecta la imagen de de la entidad con efecto publicitario sostenido a nivel de sector administrativo, nivel departamental o municipal</v>
      </c>
      <c r="P11" s="464" t="str">
        <f>IF(OR(O11='Tabla Impacto'!$C$4,O11='Tabla Impacto'!$D$4),"Leve",IF(OR(O11='Tabla Impacto'!$C$5,O11='Tabla Impacto'!$D$5),"Menor",IF(OR(O11='Tabla Impacto'!$C$6,O11='Tabla Impacto'!$D$6),"Moderado",IF(OR(O11='Tabla Impacto'!$C$7,O11='Tabla Impacto'!$D$7),"Mayor",IF(OR(O11='Tabla Impacto'!$C$8,O11='Tabla Impacto'!$D$8),"Catastrófico","")))))</f>
        <v>Mayor</v>
      </c>
      <c r="Q11" s="430">
        <f>IF(P11="","",IF(P11="Leve",0.2,IF(P11="Menor",0.4,IF(P11="Moderado",0.6,IF(P11="Mayor",0.8,IF(P11="Catastrófico",1,))))))</f>
        <v>0.8</v>
      </c>
      <c r="R11" s="484" t="str">
        <f>IF(OR(AND(L11="Muy Baja",P11="Leve"),AND(L11="Muy Baja",P11="Menor"),AND(L11="Baja",P11="Leve")),"Bajo",IF(OR(AND(L11="Muy baja",P11="Moderado"),AND(L11="Baja",P11="Menor"),AND(L11="Baja",P11="Moderado"),AND(L11="Media",P11="Leve"),AND(L11="Media",P11="Menor"),AND(L11="Media",P11="Moderado"),AND(L11="Alta",P11="Leve"),AND(L11="Alta",P11="Menor")),"Moderado",IF(OR(AND(L11="Muy Baja",P11="Mayor"),AND(L11="Baja",P11="Mayor"),AND(L11="Media",P11="Mayor"),AND(L11="Alta",P11="Moderado"),AND(L11="Alta",P11="Mayor"),AND(L11="Muy Alta",P11="Leve"),AND(L11="Muy Alta",P11="Menor"),AND(L11="Muy Alta",P11="Moderado"),AND(L11="Muy Alta",P11="Mayor")),"Alto",IF(OR(AND(L11="Muy Baja",P11="Catastrófico"),AND(L11="Baja",P11="Catastrófico"),AND(L11="Media",P11="Catastrófico"),AND(L11="Alta",P11="Catastrófico"),AND(L11="Muy Alta",P11="Catastrófico")),"Extremo",""))))</f>
        <v>Alto</v>
      </c>
      <c r="S11" s="125">
        <v>1</v>
      </c>
      <c r="T11" s="259" t="s">
        <v>177</v>
      </c>
      <c r="U11" s="260" t="s">
        <v>154</v>
      </c>
      <c r="V11" s="261" t="s">
        <v>155</v>
      </c>
      <c r="W11" s="261" t="s">
        <v>156</v>
      </c>
      <c r="X11" s="262" t="str">
        <f t="shared" si="0"/>
        <v>40%</v>
      </c>
      <c r="Y11" s="261" t="s">
        <v>178</v>
      </c>
      <c r="Z11" s="261" t="s">
        <v>158</v>
      </c>
      <c r="AA11" s="261" t="s">
        <v>159</v>
      </c>
      <c r="AB11" s="263">
        <f t="shared" ref="AB11:AB14" si="6">IFERROR(IF(U11="Probabilidad",(M11-(+M11*X11)),IF(U11="Impacto",M11,"")),"")</f>
        <v>0.48</v>
      </c>
      <c r="AC11" s="269" t="str">
        <f t="shared" si="1"/>
        <v>Media</v>
      </c>
      <c r="AD11" s="264">
        <f t="shared" si="2"/>
        <v>0.48</v>
      </c>
      <c r="AE11" s="269" t="str">
        <f t="shared" si="3"/>
        <v>Mayor</v>
      </c>
      <c r="AF11" s="264">
        <f t="shared" ref="AF11:AF14" si="7">IFERROR(IF(U11="Impacto",(Q11-(+Q11*X11)),IF(U11="Probabilidad",Q11,"")),"")</f>
        <v>0.8</v>
      </c>
      <c r="AG11" s="265" t="str">
        <f t="shared" si="4"/>
        <v>Alto</v>
      </c>
      <c r="AH11" s="266" t="s">
        <v>160</v>
      </c>
      <c r="AI11" s="187" t="s">
        <v>179</v>
      </c>
      <c r="AJ11" s="48" t="s">
        <v>8</v>
      </c>
      <c r="AK11" s="140" t="s">
        <v>180</v>
      </c>
      <c r="AL11" s="140" t="s">
        <v>164</v>
      </c>
      <c r="AM11" s="268"/>
      <c r="AN11" s="277" t="s">
        <v>165</v>
      </c>
      <c r="AO11" s="468"/>
      <c r="AP11" s="468"/>
      <c r="AQ11" s="468"/>
      <c r="AR11" s="277"/>
      <c r="AS11" s="277"/>
      <c r="AT11" s="277" t="s">
        <v>166</v>
      </c>
      <c r="AU11" s="277" t="s">
        <v>166</v>
      </c>
      <c r="AV11" s="277"/>
      <c r="AW11" s="7"/>
      <c r="AX11" s="7"/>
      <c r="AY11" s="7"/>
      <c r="AZ11" s="7"/>
      <c r="BA11" s="7"/>
      <c r="BB11" s="7"/>
      <c r="BC11" s="7"/>
      <c r="BD11" s="7"/>
      <c r="BE11" s="7"/>
      <c r="BF11" s="7"/>
      <c r="BG11" s="7"/>
      <c r="BH11" s="7"/>
      <c r="BI11" s="7"/>
      <c r="BJ11" s="7"/>
      <c r="BK11" s="7"/>
      <c r="BL11" s="7"/>
      <c r="BM11" s="7"/>
      <c r="BN11" s="7"/>
      <c r="BO11" s="7"/>
      <c r="BP11" s="7"/>
      <c r="BQ11" s="7" t="s">
        <v>14</v>
      </c>
      <c r="BR11" s="7"/>
      <c r="BS11" s="7"/>
      <c r="BT11" s="7"/>
    </row>
    <row r="12" spans="1:72" ht="159.75" customHeight="1" x14ac:dyDescent="0.3">
      <c r="A12" s="531"/>
      <c r="B12" s="533"/>
      <c r="C12" s="521"/>
      <c r="D12" s="521"/>
      <c r="E12" s="491"/>
      <c r="F12" s="426"/>
      <c r="G12" s="426"/>
      <c r="H12" s="426"/>
      <c r="I12" s="426"/>
      <c r="J12" s="426"/>
      <c r="K12" s="424"/>
      <c r="L12" s="483"/>
      <c r="M12" s="481"/>
      <c r="N12" s="473"/>
      <c r="O12" s="481"/>
      <c r="P12" s="565"/>
      <c r="Q12" s="481"/>
      <c r="R12" s="498"/>
      <c r="S12" s="125">
        <v>2</v>
      </c>
      <c r="T12" s="259" t="s">
        <v>181</v>
      </c>
      <c r="U12" s="260" t="s">
        <v>154</v>
      </c>
      <c r="V12" s="261" t="s">
        <v>155</v>
      </c>
      <c r="W12" s="261" t="s">
        <v>156</v>
      </c>
      <c r="X12" s="262" t="str">
        <f t="shared" si="0"/>
        <v>40%</v>
      </c>
      <c r="Y12" s="261" t="s">
        <v>157</v>
      </c>
      <c r="Z12" s="261" t="s">
        <v>158</v>
      </c>
      <c r="AA12" s="261" t="s">
        <v>159</v>
      </c>
      <c r="AB12" s="263">
        <f>IFERROR(IF(U12="Probabilidad",(AB11-(+AB11*X12)),IF(U12="Impacto",AB11,"")),"")</f>
        <v>0.28799999999999998</v>
      </c>
      <c r="AC12" s="269" t="str">
        <f t="shared" si="1"/>
        <v>Baja</v>
      </c>
      <c r="AD12" s="124">
        <f>AB12</f>
        <v>0.28799999999999998</v>
      </c>
      <c r="AE12" s="269" t="str">
        <f t="shared" si="3"/>
        <v>Mayor</v>
      </c>
      <c r="AF12" s="264">
        <f>IFERROR(IF(U12="Impacto",(Q11-(+Q11*X12)),IF(U12="Probabilidad",Q11,"")),"")</f>
        <v>0.8</v>
      </c>
      <c r="AG12" s="265" t="str">
        <f t="shared" si="4"/>
        <v>Alto</v>
      </c>
      <c r="AH12" s="266" t="s">
        <v>160</v>
      </c>
      <c r="AI12" s="152" t="s">
        <v>182</v>
      </c>
      <c r="AJ12" s="48" t="s">
        <v>8</v>
      </c>
      <c r="AK12" s="140" t="s">
        <v>180</v>
      </c>
      <c r="AL12" s="140" t="s">
        <v>164</v>
      </c>
      <c r="AM12" s="268"/>
      <c r="AN12" s="277" t="s">
        <v>165</v>
      </c>
      <c r="AO12" s="424"/>
      <c r="AP12" s="424"/>
      <c r="AQ12" s="424"/>
      <c r="AR12" s="277" t="s">
        <v>166</v>
      </c>
      <c r="AS12" s="277"/>
      <c r="AT12" s="277" t="s">
        <v>166</v>
      </c>
      <c r="AU12" s="277"/>
      <c r="AV12" s="277"/>
      <c r="AW12" s="7"/>
      <c r="AX12" s="7"/>
      <c r="AY12" s="7"/>
      <c r="AZ12" s="7"/>
      <c r="BA12" s="7"/>
      <c r="BB12" s="7"/>
      <c r="BC12" s="7"/>
      <c r="BD12" s="7"/>
      <c r="BE12" s="7"/>
      <c r="BF12" s="7"/>
      <c r="BG12" s="7"/>
      <c r="BH12" s="7"/>
      <c r="BI12" s="7"/>
      <c r="BJ12" s="7"/>
      <c r="BK12" s="7"/>
      <c r="BL12" s="7"/>
      <c r="BM12" s="7"/>
      <c r="BN12" s="7"/>
      <c r="BO12" s="7"/>
      <c r="BP12" s="7"/>
      <c r="BQ12" s="7"/>
      <c r="BR12" s="7"/>
      <c r="BS12" s="7"/>
      <c r="BT12" s="7"/>
    </row>
    <row r="13" spans="1:72" ht="188.25" customHeight="1" x14ac:dyDescent="0.3">
      <c r="A13" s="531"/>
      <c r="B13" s="533"/>
      <c r="C13" s="521"/>
      <c r="D13" s="521"/>
      <c r="E13" s="522"/>
      <c r="F13" s="427"/>
      <c r="G13" s="427"/>
      <c r="H13" s="427"/>
      <c r="I13" s="427"/>
      <c r="J13" s="427"/>
      <c r="K13" s="424"/>
      <c r="L13" s="429"/>
      <c r="M13" s="431"/>
      <c r="N13" s="473"/>
      <c r="O13" s="481"/>
      <c r="P13" s="453"/>
      <c r="Q13" s="431"/>
      <c r="R13" s="486"/>
      <c r="S13" s="125">
        <v>3</v>
      </c>
      <c r="T13" s="259" t="s">
        <v>183</v>
      </c>
      <c r="U13" s="260" t="s">
        <v>154</v>
      </c>
      <c r="V13" s="261" t="s">
        <v>155</v>
      </c>
      <c r="W13" s="261" t="s">
        <v>156</v>
      </c>
      <c r="X13" s="262" t="str">
        <f t="shared" si="0"/>
        <v>40%</v>
      </c>
      <c r="Y13" s="261" t="s">
        <v>178</v>
      </c>
      <c r="Z13" s="261" t="s">
        <v>158</v>
      </c>
      <c r="AA13" s="261" t="s">
        <v>159</v>
      </c>
      <c r="AB13" s="263">
        <f>IFERROR(IF(U13="Probabilidad",(AB12-(+AB12*X13)),IF(U13="Impacto",AB12,"")),"")</f>
        <v>0.17279999999999998</v>
      </c>
      <c r="AC13" s="269" t="str">
        <f t="shared" si="1"/>
        <v>Muy Baja</v>
      </c>
      <c r="AD13" s="264">
        <f t="shared" si="2"/>
        <v>0.17279999999999998</v>
      </c>
      <c r="AE13" s="269" t="str">
        <f t="shared" si="3"/>
        <v>Mayor</v>
      </c>
      <c r="AF13" s="264">
        <f>IFERROR(IF(U13="Impacto",(Q11-(+Q11*X13)),IF(U13="Probabilidad",Q11,"")),"")</f>
        <v>0.8</v>
      </c>
      <c r="AG13" s="265" t="str">
        <f t="shared" si="4"/>
        <v>Alto</v>
      </c>
      <c r="AH13" s="266" t="s">
        <v>160</v>
      </c>
      <c r="AI13" s="138" t="s">
        <v>184</v>
      </c>
      <c r="AJ13" s="48" t="s">
        <v>8</v>
      </c>
      <c r="AK13" s="140" t="s">
        <v>180</v>
      </c>
      <c r="AL13" s="140" t="s">
        <v>164</v>
      </c>
      <c r="AM13" s="268"/>
      <c r="AN13" s="277" t="s">
        <v>165</v>
      </c>
      <c r="AO13" s="425"/>
      <c r="AP13" s="425"/>
      <c r="AQ13" s="425"/>
      <c r="AR13" s="277" t="s">
        <v>166</v>
      </c>
      <c r="AS13" s="277"/>
      <c r="AT13" s="277" t="s">
        <v>166</v>
      </c>
      <c r="AU13" s="277"/>
      <c r="AV13" s="277"/>
      <c r="AW13" s="7"/>
      <c r="AX13" s="7"/>
      <c r="AY13" s="7"/>
      <c r="AZ13" s="7"/>
      <c r="BA13" s="7"/>
      <c r="BB13" s="7"/>
      <c r="BC13" s="7"/>
      <c r="BD13" s="7"/>
      <c r="BE13" s="7"/>
      <c r="BF13" s="7"/>
      <c r="BG13" s="7"/>
      <c r="BH13" s="7"/>
      <c r="BI13" s="7"/>
      <c r="BJ13" s="7"/>
      <c r="BK13" s="7"/>
      <c r="BL13" s="7"/>
      <c r="BM13" s="7"/>
      <c r="BN13" s="7"/>
      <c r="BO13" s="7"/>
      <c r="BP13" s="7"/>
      <c r="BQ13" s="7" t="s">
        <v>28</v>
      </c>
      <c r="BR13" s="7"/>
      <c r="BS13" s="7"/>
      <c r="BT13" s="7"/>
    </row>
    <row r="14" spans="1:72" ht="240" x14ac:dyDescent="0.3">
      <c r="A14" s="531"/>
      <c r="B14" s="533"/>
      <c r="C14" s="521"/>
      <c r="D14" s="521"/>
      <c r="E14" s="490">
        <v>3</v>
      </c>
      <c r="F14" s="466" t="s">
        <v>172</v>
      </c>
      <c r="G14" s="466" t="s">
        <v>185</v>
      </c>
      <c r="H14" s="466" t="s">
        <v>186</v>
      </c>
      <c r="I14" s="466" t="s">
        <v>187</v>
      </c>
      <c r="J14" s="426" t="s">
        <v>188</v>
      </c>
      <c r="K14" s="424">
        <v>250</v>
      </c>
      <c r="L14" s="428" t="str">
        <f t="shared" ref="L14" si="8">IF(K14&lt;=0,"",IF(K14&lt;=2,"Muy Baja",IF(K14&lt;=24,"Baja",IF(K14&lt;=500,"Media",IF(K14&lt;=5000,"Alta","Muy Alta")))))</f>
        <v>Media</v>
      </c>
      <c r="M14" s="430">
        <f>IF(L14="","",IF(L14="Muy Baja",0.2,IF(L14="Baja",0.4,IF(L14="Media",0.6,IF(L14="Alta",0.8,IF(L14="Muy Alta",1,))))))</f>
        <v>0.6</v>
      </c>
      <c r="N14" s="473" t="str">
        <f>'Tabla Impacto'!D7</f>
        <v>El riesgo afecta la imagen de de la entidad con efecto publicitario sostenido a nivel de sector administrativo, nivel departamental o municipal</v>
      </c>
      <c r="O14" s="481" t="str">
        <f>IF(NOT(ISERROR(MATCH(N14,'Tabla Impacto'!$B$210:$B$219,0))),'Tabla Impacto'!$F$210&amp;"Por favor no seleccionar los criterios de impacto(Afectación Económica o presupuestal y Pérdida Reputacional)",N14)</f>
        <v>El riesgo afecta la imagen de de la entidad con efecto publicitario sostenido a nivel de sector administrativo, nivel departamental o municipal</v>
      </c>
      <c r="P14" s="428" t="str">
        <f>IF(OR(O14='Tabla Impacto'!$C$4,O14='Tabla Impacto'!$D$4),"Leve",IF(OR(O14='Tabla Impacto'!$C$5,O14='Tabla Impacto'!$D$5),"Menor",IF(OR(O14='Tabla Impacto'!$C$6,O14='Tabla Impacto'!$D$6),"Moderado",IF(OR(O14='Tabla Impacto'!$C$7,O14='Tabla Impacto'!$D$7),"Mayor",IF(OR(O14='Tabla Impacto'!$C$8,O14='Tabla Impacto'!$D$8),"Catastrófico","")))))</f>
        <v>Mayor</v>
      </c>
      <c r="Q14" s="430">
        <f>IF(P14="","",IF(P14="Leve",0.2,IF(P14="Menor",0.4,IF(P14="Moderado",0.6,IF(P14="Mayor",0.8,IF(P14="Catastrófico",1,))))))</f>
        <v>0.8</v>
      </c>
      <c r="R14" s="484" t="str">
        <f>IF(OR(AND(L14="Muy Baja",P14="Leve"),AND(L14="Muy Baja",P14="Menor"),AND(L14="Baja",P14="Leve")),"Bajo",IF(OR(AND(L14="Muy baja",P14="Moderado"),AND(L14="Baja",P14="Menor"),AND(L14="Baja",P14="Moderado"),AND(L14="Media",P14="Leve"),AND(L14="Media",P14="Menor"),AND(L14="Media",P14="Moderado"),AND(L14="Alta",P14="Leve"),AND(L14="Alta",P14="Menor")),"Moderado",IF(OR(AND(L14="Muy Baja",P14="Mayor"),AND(L14="Baja",P14="Mayor"),AND(L14="Media",P14="Mayor"),AND(L14="Alta",P14="Moderado"),AND(L14="Alta",P14="Mayor"),AND(L14="Muy Alta",P14="Leve"),AND(L14="Muy Alta",P14="Menor"),AND(L14="Muy Alta",P14="Moderado"),AND(L14="Muy Alta",P14="Mayor")),"Alto",IF(OR(AND(L14="Muy Baja",P14="Catastrófico"),AND(L14="Baja",P14="Catastrófico"),AND(L14="Media",P14="Catastrófico"),AND(L14="Alta",P14="Catastrófico"),AND(L14="Muy Alta",P14="Catastrófico")),"Extremo",""))))</f>
        <v>Alto</v>
      </c>
      <c r="S14" s="125">
        <v>1</v>
      </c>
      <c r="T14" s="259" t="s">
        <v>189</v>
      </c>
      <c r="U14" s="260" t="s">
        <v>154</v>
      </c>
      <c r="V14" s="261" t="s">
        <v>155</v>
      </c>
      <c r="W14" s="261" t="s">
        <v>156</v>
      </c>
      <c r="X14" s="262" t="str">
        <f t="shared" si="0"/>
        <v>40%</v>
      </c>
      <c r="Y14" s="261" t="s">
        <v>157</v>
      </c>
      <c r="Z14" s="261" t="s">
        <v>158</v>
      </c>
      <c r="AA14" s="261" t="s">
        <v>190</v>
      </c>
      <c r="AB14" s="263">
        <f t="shared" si="6"/>
        <v>0.36</v>
      </c>
      <c r="AC14" s="269" t="str">
        <f t="shared" si="1"/>
        <v>Baja</v>
      </c>
      <c r="AD14" s="264">
        <f t="shared" si="2"/>
        <v>0.36</v>
      </c>
      <c r="AE14" s="269" t="str">
        <f t="shared" si="3"/>
        <v>Mayor</v>
      </c>
      <c r="AF14" s="264">
        <f t="shared" si="7"/>
        <v>0.8</v>
      </c>
      <c r="AG14" s="265" t="str">
        <f t="shared" si="4"/>
        <v>Alto</v>
      </c>
      <c r="AH14" s="266" t="s">
        <v>160</v>
      </c>
      <c r="AI14" s="187" t="s">
        <v>191</v>
      </c>
      <c r="AJ14" s="268" t="s">
        <v>8</v>
      </c>
      <c r="AK14" s="268" t="s">
        <v>192</v>
      </c>
      <c r="AL14" s="268" t="s">
        <v>164</v>
      </c>
      <c r="AM14" s="260"/>
      <c r="AN14" s="277" t="s">
        <v>165</v>
      </c>
      <c r="AO14" s="468"/>
      <c r="AP14" s="468"/>
      <c r="AQ14" s="468"/>
      <c r="AR14" s="277"/>
      <c r="AS14" s="277"/>
      <c r="AT14" s="277"/>
      <c r="AU14" s="277" t="s">
        <v>166</v>
      </c>
      <c r="AV14" s="277"/>
      <c r="AW14" s="7"/>
      <c r="AX14" s="7"/>
      <c r="AY14" s="7"/>
      <c r="AZ14" s="7"/>
      <c r="BA14" s="7"/>
      <c r="BB14" s="7"/>
      <c r="BC14" s="7"/>
      <c r="BD14" s="7"/>
      <c r="BE14" s="7"/>
      <c r="BF14" s="7"/>
      <c r="BG14" s="7"/>
      <c r="BH14" s="7"/>
      <c r="BI14" s="7"/>
      <c r="BJ14" s="7"/>
      <c r="BK14" s="7"/>
      <c r="BL14" s="7"/>
      <c r="BM14" s="7"/>
      <c r="BN14" s="7"/>
      <c r="BO14" s="7"/>
      <c r="BP14" s="7"/>
      <c r="BQ14" s="7" t="s">
        <v>193</v>
      </c>
      <c r="BR14" s="7"/>
      <c r="BS14" s="7"/>
      <c r="BT14" s="7"/>
    </row>
    <row r="15" spans="1:72" ht="62.25" customHeight="1" x14ac:dyDescent="0.3">
      <c r="A15" s="532"/>
      <c r="B15" s="533"/>
      <c r="C15" s="521"/>
      <c r="D15" s="521"/>
      <c r="E15" s="522"/>
      <c r="F15" s="427"/>
      <c r="G15" s="427"/>
      <c r="H15" s="427"/>
      <c r="I15" s="427"/>
      <c r="J15" s="427"/>
      <c r="K15" s="424"/>
      <c r="L15" s="429"/>
      <c r="M15" s="431"/>
      <c r="N15" s="473"/>
      <c r="O15" s="481"/>
      <c r="P15" s="429"/>
      <c r="Q15" s="431"/>
      <c r="R15" s="486"/>
      <c r="S15" s="125">
        <v>2</v>
      </c>
      <c r="T15" s="259" t="s">
        <v>194</v>
      </c>
      <c r="U15" s="260" t="s">
        <v>154</v>
      </c>
      <c r="V15" s="261" t="s">
        <v>169</v>
      </c>
      <c r="W15" s="261" t="s">
        <v>156</v>
      </c>
      <c r="X15" s="262" t="str">
        <f t="shared" si="0"/>
        <v>30%</v>
      </c>
      <c r="Y15" s="261" t="s">
        <v>178</v>
      </c>
      <c r="Z15" s="261" t="s">
        <v>158</v>
      </c>
      <c r="AA15" s="261" t="s">
        <v>190</v>
      </c>
      <c r="AB15" s="263">
        <f>IFERROR(IF(U15="Probabilidad",(AB14-(+AB14*X15)),IF(U15="Impacto",AB14,"")),"")</f>
        <v>0.252</v>
      </c>
      <c r="AC15" s="269" t="str">
        <f t="shared" si="1"/>
        <v>Baja</v>
      </c>
      <c r="AD15" s="124">
        <f t="shared" si="2"/>
        <v>0.252</v>
      </c>
      <c r="AE15" s="269" t="str">
        <f t="shared" si="3"/>
        <v>Mayor</v>
      </c>
      <c r="AF15" s="264">
        <f>IFERROR(IF(U15="Impacto",(Q14-(+Q14*X15)),IF(U15="Probabilidad",Q14,"")),"")</f>
        <v>0.8</v>
      </c>
      <c r="AG15" s="265" t="str">
        <f t="shared" si="4"/>
        <v>Alto</v>
      </c>
      <c r="AH15" s="266" t="s">
        <v>160</v>
      </c>
      <c r="AI15" s="138" t="s">
        <v>195</v>
      </c>
      <c r="AJ15" s="268" t="s">
        <v>8</v>
      </c>
      <c r="AK15" s="141" t="s">
        <v>192</v>
      </c>
      <c r="AL15" s="141" t="s">
        <v>164</v>
      </c>
      <c r="AM15" s="260"/>
      <c r="AN15" s="277" t="s">
        <v>165</v>
      </c>
      <c r="AO15" s="425"/>
      <c r="AP15" s="425"/>
      <c r="AQ15" s="425"/>
      <c r="AR15" s="277"/>
      <c r="AS15" s="277"/>
      <c r="AT15" s="277" t="s">
        <v>166</v>
      </c>
      <c r="AU15" s="277" t="s">
        <v>166</v>
      </c>
      <c r="AV15" s="277"/>
      <c r="AW15" s="7"/>
      <c r="AX15" s="7"/>
      <c r="AY15" s="7"/>
      <c r="AZ15" s="7"/>
      <c r="BA15" s="7"/>
      <c r="BB15" s="7"/>
      <c r="BC15" s="7"/>
      <c r="BD15" s="7"/>
      <c r="BE15" s="7"/>
      <c r="BF15" s="7"/>
      <c r="BG15" s="7"/>
      <c r="BH15" s="7"/>
      <c r="BI15" s="7"/>
      <c r="BJ15" s="7"/>
      <c r="BK15" s="7"/>
      <c r="BL15" s="7"/>
      <c r="BM15" s="7"/>
      <c r="BN15" s="7"/>
      <c r="BO15" s="7"/>
      <c r="BP15" s="7"/>
      <c r="BQ15" s="7" t="s">
        <v>31</v>
      </c>
      <c r="BR15" s="7"/>
      <c r="BS15" s="7"/>
      <c r="BT15" s="7"/>
    </row>
    <row r="16" spans="1:72" s="3" customFormat="1" ht="132" customHeight="1" x14ac:dyDescent="0.25">
      <c r="A16" s="526" t="s">
        <v>196</v>
      </c>
      <c r="B16" s="526" t="s">
        <v>197</v>
      </c>
      <c r="C16" s="526" t="s">
        <v>198</v>
      </c>
      <c r="D16" s="529" t="s">
        <v>22</v>
      </c>
      <c r="E16" s="623">
        <v>1</v>
      </c>
      <c r="F16" s="523" t="s">
        <v>199</v>
      </c>
      <c r="G16" s="523" t="s">
        <v>200</v>
      </c>
      <c r="H16" s="523" t="s">
        <v>201</v>
      </c>
      <c r="I16" s="523" t="s">
        <v>202</v>
      </c>
      <c r="J16" s="523" t="s">
        <v>188</v>
      </c>
      <c r="K16" s="554">
        <v>15</v>
      </c>
      <c r="L16" s="428" t="str">
        <f>IF(K16&lt;=0,"",IF(K16&lt;=2,"Muy Baja",IF(K16&lt;=24,"Baja",IF(K16&lt;=500,"Media",IF(K16&lt;=5000,"Alta","Muy Alta")))))</f>
        <v>Baja</v>
      </c>
      <c r="M16" s="430">
        <f>IF(L16="","",IF(L16="Muy Baja",0.2,IF(L16="Baja",0.4,IF(L16="Media",0.6,IF(L16="Alta",0.8,IF(L16="Muy Alta",1,))))))</f>
        <v>0.4</v>
      </c>
      <c r="N16" s="473" t="str">
        <f>'Tabla Impacto'!D7</f>
        <v>El riesgo afecta la imagen de de la entidad con efecto publicitario sostenido a nivel de sector administrativo, nivel departamental o municipal</v>
      </c>
      <c r="O16" s="481" t="str">
        <f>IF(NOT(ISERROR(MATCH(N16,'Tabla Impacto'!$B$210:$B$219,0))),'Tabla Impacto'!$F$210&amp;"Por favor no seleccionar los criterios de impacto(Afectación Económica o presupuestal y Pérdida Reputacional)",N16)</f>
        <v>El riesgo afecta la imagen de de la entidad con efecto publicitario sostenido a nivel de sector administrativo, nivel departamental o municipal</v>
      </c>
      <c r="P16" s="428" t="str">
        <f>IF(OR(O16='Tabla Impacto'!$C$4,O16='Tabla Impacto'!$D$4),"Leve",IF(OR(O16='Tabla Impacto'!$C$5,O16='Tabla Impacto'!$D$5),"Menor",IF(OR(O16='Tabla Impacto'!$C$6,O16='Tabla Impacto'!$D$6),"Moderado",IF(OR(O16='Tabla Impacto'!$C$7,O16='Tabla Impacto'!$D$7),"Mayor",IF(OR(O16='Tabla Impacto'!$C$8,O16='Tabla Impacto'!$D$8),"Catastrófico","")))))</f>
        <v>Mayor</v>
      </c>
      <c r="Q16" s="430">
        <f>IF(P16="","",IF(P16="Leve",0.2,IF(P16="Menor",0.4,IF(P16="Moderado",0.6,IF(P16="Mayor",0.8,IF(P16="Catastrófico",1,))))))</f>
        <v>0.8</v>
      </c>
      <c r="R16" s="484" t="str">
        <f>IF(OR(AND(L16="Muy Baja",P16="Leve"),AND(L16="Muy Baja",P16="Menor"),AND(L16="Baja",P16="Leve")),"Bajo",IF(OR(AND(L16="Muy baja",P16="Moderado"),AND(L16="Baja",P16="Menor"),AND(L16="Baja",P16="Moderado"),AND(L16="Media",P16="Leve"),AND(L16="Media",P16="Menor"),AND(L16="Media",P16="Moderado"),AND(L16="Alta",P16="Leve"),AND(L16="Alta",P16="Menor")),"Moderado",IF(OR(AND(L16="Muy Baja",P16="Mayor"),AND(L16="Baja",P16="Mayor"),AND(L16="Media",P16="Mayor"),AND(L16="Alta",P16="Moderado"),AND(L16="Alta",P16="Mayor"),AND(L16="Muy Alta",P16="Leve"),AND(L16="Muy Alta",P16="Menor"),AND(L16="Muy Alta",P16="Moderado"),AND(L16="Muy Alta",P16="Mayor")),"Alto",IF(OR(AND(L16="Muy Baja",P16="Catastrófico"),AND(L16="Baja",P16="Catastrófico"),AND(L16="Media",P16="Catastrófico"),AND(L16="Alta",P16="Catastrófico"),AND(L16="Muy Alta",P16="Catastrófico")),"Extremo",""))))</f>
        <v>Alto</v>
      </c>
      <c r="S16" s="125">
        <v>1</v>
      </c>
      <c r="T16" s="259" t="s">
        <v>203</v>
      </c>
      <c r="U16" s="260" t="str">
        <f>IF(OR(V16="Preventivo",V16="Detectivo"),"Probabilidad",IF(V16="Correctivo","Impacto",""))</f>
        <v>Probabilidad</v>
      </c>
      <c r="V16" s="261" t="s">
        <v>155</v>
      </c>
      <c r="W16" s="261" t="s">
        <v>156</v>
      </c>
      <c r="X16" s="262" t="str">
        <f t="shared" ref="X16:X21" si="9">IF(AND(V16="Preventivo",W16="Automático"),"50%",IF(AND(V16="Preventivo",W16="Manual"),"40%",IF(AND(V16="Detectivo",W16="Automático"),"40%",IF(AND(V16="Detectivo",W16="Manual"),"30%",IF(AND(V16="Correctivo",W16="Automático"),"35%",IF(AND(V16="Correctivo",W16="Manual"),"25%",""))))))</f>
        <v>40%</v>
      </c>
      <c r="Y16" s="261" t="s">
        <v>157</v>
      </c>
      <c r="Z16" s="261" t="s">
        <v>204</v>
      </c>
      <c r="AA16" s="261" t="s">
        <v>159</v>
      </c>
      <c r="AB16" s="263">
        <f>IFERROR(IF(U16="Probabilidad",(M16-(+M16*X16)),IF(U16="Impacto",M16,"")),"")</f>
        <v>0.24</v>
      </c>
      <c r="AC16" s="269" t="str">
        <f t="shared" ref="AC16:AC21" si="10">IFERROR(IF(AB16="","",IF(AB16&lt;=0.2,"Muy Baja",IF(AB16&lt;=0.4,"Baja",IF(AB16&lt;=0.6,"Media",IF(AB16&lt;=0.8,"Alta","Muy Alta"))))),"")</f>
        <v>Baja</v>
      </c>
      <c r="AD16" s="264">
        <f t="shared" ref="AD16:AD21" si="11">+AB16</f>
        <v>0.24</v>
      </c>
      <c r="AE16" s="269" t="str">
        <f t="shared" ref="AE16:AE23" si="12">IFERROR(IF(AF16="","",IF(AF16&lt;=0.2,"Leve",IF(AF16&lt;=0.4,"Menor",IF(AF16&lt;=0.6,"Moderado",IF(AF16&lt;=0.8,"Mayor","Catastrófico"))))),"")</f>
        <v>Mayor</v>
      </c>
      <c r="AF16" s="264">
        <f>IFERROR(IF(U16="Impacto",(Q16-(+Q16*X16)),IF(U16="Probabilidad",Q16,"")),"")</f>
        <v>0.8</v>
      </c>
      <c r="AG16" s="265" t="str">
        <f t="shared" ref="AG16:AG23" si="13">IFERROR(IF(OR(AND(AC16="Muy Baja",AE16="Leve"),AND(AC16="Muy Baja",AE16="Menor"),AND(AC16="Baja",AE16="Leve")),"Bajo",IF(OR(AND(AC16="Muy baja",AE16="Moderado"),AND(AC16="Baja",AE16="Menor"),AND(AC16="Baja",AE16="Moderado"),AND(AC16="Media",AE16="Leve"),AND(AC16="Media",AE16="Menor"),AND(AC16="Media",AE16="Moderado"),AND(AC16="Alta",AE16="Leve"),AND(AC16="Alta",AE16="Menor")),"Moderado",IF(OR(AND(AC16="Muy Baja",AE16="Mayor"),AND(AC16="Baja",AE16="Mayor"),AND(AC16="Media",AE16="Mayor"),AND(AC16="Alta",AE16="Moderado"),AND(AC16="Alta",AE16="Mayor"),AND(AC16="Muy Alta",AE16="Leve"),AND(AC16="Muy Alta",AE16="Menor"),AND(AC16="Muy Alta",AE16="Moderado"),AND(AC16="Muy Alta",AE16="Mayor")),"Alto",IF(OR(AND(AC16="Muy Baja",AE16="Catastrófico"),AND(AC16="Baja",AE16="Catastrófico"),AND(AC16="Media",AE16="Catastrófico"),AND(AC16="Alta",AE16="Catastrófico"),AND(AC16="Muy Alta",AE16="Catastrófico")),"Extremo","")))),"")</f>
        <v>Alto</v>
      </c>
      <c r="AH16" s="266" t="s">
        <v>160</v>
      </c>
      <c r="AI16" s="466" t="s">
        <v>205</v>
      </c>
      <c r="AJ16" s="187" t="s">
        <v>22</v>
      </c>
      <c r="AK16" s="188" t="s">
        <v>206</v>
      </c>
      <c r="AL16" s="189" t="s">
        <v>207</v>
      </c>
      <c r="AM16" s="131"/>
      <c r="AN16" s="277" t="s">
        <v>165</v>
      </c>
      <c r="AO16" s="267"/>
      <c r="AP16" s="267"/>
      <c r="AQ16" s="267"/>
      <c r="AR16" s="277"/>
      <c r="AS16" s="277"/>
      <c r="AT16" s="277" t="s">
        <v>208</v>
      </c>
      <c r="AU16" s="277" t="s">
        <v>208</v>
      </c>
      <c r="AV16" s="277"/>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row>
    <row r="17" spans="1:72" s="3" customFormat="1" ht="189.75" customHeight="1" x14ac:dyDescent="0.25">
      <c r="A17" s="496"/>
      <c r="B17" s="496"/>
      <c r="C17" s="496"/>
      <c r="D17" s="493"/>
      <c r="E17" s="624"/>
      <c r="F17" s="426"/>
      <c r="G17" s="426"/>
      <c r="H17" s="426"/>
      <c r="I17" s="426"/>
      <c r="J17" s="426"/>
      <c r="K17" s="424"/>
      <c r="L17" s="483"/>
      <c r="M17" s="481"/>
      <c r="N17" s="473"/>
      <c r="O17" s="481"/>
      <c r="P17" s="483"/>
      <c r="Q17" s="481"/>
      <c r="R17" s="498"/>
      <c r="S17" s="125">
        <v>2</v>
      </c>
      <c r="T17" s="259" t="s">
        <v>209</v>
      </c>
      <c r="U17" s="260" t="str">
        <f>IF(OR(V17="Preventivo",V17="Detectivo"),"Probabilidad",IF(V17="Correctivo","Impacto",""))</f>
        <v>Probabilidad</v>
      </c>
      <c r="V17" s="261" t="s">
        <v>169</v>
      </c>
      <c r="W17" s="261" t="s">
        <v>156</v>
      </c>
      <c r="X17" s="262" t="str">
        <f t="shared" si="9"/>
        <v>30%</v>
      </c>
      <c r="Y17" s="261" t="s">
        <v>157</v>
      </c>
      <c r="Z17" s="261" t="s">
        <v>158</v>
      </c>
      <c r="AA17" s="261" t="s">
        <v>159</v>
      </c>
      <c r="AB17" s="263">
        <f>IFERROR(IF(U17="Probabilidad",(AB16-(+AB16*X17)),IF(U17="Impacto",M16,"")),"")</f>
        <v>0.16799999999999998</v>
      </c>
      <c r="AC17" s="269" t="str">
        <f t="shared" si="10"/>
        <v>Muy Baja</v>
      </c>
      <c r="AD17" s="124">
        <f t="shared" si="11"/>
        <v>0.16799999999999998</v>
      </c>
      <c r="AE17" s="269" t="str">
        <f t="shared" si="12"/>
        <v>Mayor</v>
      </c>
      <c r="AF17" s="264">
        <f>IFERROR(IF(U17="Impacto",(Q16-(+Q16*X17)),IF(U17="Probabilidad",Q16,"")),"")</f>
        <v>0.8</v>
      </c>
      <c r="AG17" s="265" t="str">
        <f t="shared" si="13"/>
        <v>Alto</v>
      </c>
      <c r="AH17" s="266" t="s">
        <v>160</v>
      </c>
      <c r="AI17" s="426"/>
      <c r="AJ17" s="187" t="s">
        <v>22</v>
      </c>
      <c r="AK17" s="188" t="s">
        <v>206</v>
      </c>
      <c r="AL17" s="189" t="s">
        <v>207</v>
      </c>
      <c r="AM17" s="260"/>
      <c r="AN17" s="277" t="s">
        <v>165</v>
      </c>
      <c r="AO17" s="142"/>
      <c r="AP17" s="142"/>
      <c r="AQ17" s="142"/>
      <c r="AR17" s="277"/>
      <c r="AS17" s="277"/>
      <c r="AT17" s="277" t="s">
        <v>208</v>
      </c>
      <c r="AU17" s="277" t="s">
        <v>208</v>
      </c>
      <c r="AV17" s="277"/>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row>
    <row r="18" spans="1:72" s="3" customFormat="1" ht="209.25" customHeight="1" x14ac:dyDescent="0.25">
      <c r="A18" s="496"/>
      <c r="B18" s="496"/>
      <c r="C18" s="496"/>
      <c r="D18" s="520"/>
      <c r="E18" s="625"/>
      <c r="F18" s="427"/>
      <c r="G18" s="427"/>
      <c r="H18" s="427"/>
      <c r="I18" s="427"/>
      <c r="J18" s="427"/>
      <c r="K18" s="425"/>
      <c r="L18" s="429"/>
      <c r="M18" s="431"/>
      <c r="N18" s="482"/>
      <c r="O18" s="431"/>
      <c r="P18" s="429"/>
      <c r="Q18" s="431"/>
      <c r="R18" s="486"/>
      <c r="S18" s="125">
        <v>3</v>
      </c>
      <c r="T18" s="259" t="s">
        <v>210</v>
      </c>
      <c r="U18" s="260" t="s">
        <v>49</v>
      </c>
      <c r="V18" s="261" t="s">
        <v>211</v>
      </c>
      <c r="W18" s="261" t="s">
        <v>156</v>
      </c>
      <c r="X18" s="262" t="str">
        <f t="shared" si="9"/>
        <v>25%</v>
      </c>
      <c r="Y18" s="261" t="s">
        <v>157</v>
      </c>
      <c r="Z18" s="261" t="s">
        <v>204</v>
      </c>
      <c r="AA18" s="261" t="s">
        <v>159</v>
      </c>
      <c r="AB18" s="263">
        <f>IFERROR(IF(U18="Probabilidad",(AB17-(+AB17*X18)),IF(U18="Impacto",AB17,"")),"")</f>
        <v>0.16799999999999998</v>
      </c>
      <c r="AC18" s="269" t="str">
        <f t="shared" si="10"/>
        <v>Muy Baja</v>
      </c>
      <c r="AD18" s="124">
        <f t="shared" si="11"/>
        <v>0.16799999999999998</v>
      </c>
      <c r="AE18" s="269" t="str">
        <f t="shared" si="12"/>
        <v>Moderado</v>
      </c>
      <c r="AF18" s="264">
        <f>IFERROR(IF(U18="Impacto",(Q16-(+Q16*X18)),IF(U18="Probabilidad",Q16,"")),"")</f>
        <v>0.60000000000000009</v>
      </c>
      <c r="AG18" s="265" t="str">
        <f t="shared" si="13"/>
        <v>Moderado</v>
      </c>
      <c r="AH18" s="266" t="s">
        <v>160</v>
      </c>
      <c r="AI18" s="427"/>
      <c r="AJ18" s="187" t="s">
        <v>22</v>
      </c>
      <c r="AK18" s="188" t="s">
        <v>206</v>
      </c>
      <c r="AL18" s="189" t="s">
        <v>212</v>
      </c>
      <c r="AM18" s="260"/>
      <c r="AN18" s="277" t="s">
        <v>165</v>
      </c>
      <c r="AO18" s="292"/>
      <c r="AP18" s="292"/>
      <c r="AQ18" s="292"/>
      <c r="AR18" s="277"/>
      <c r="AS18" s="277"/>
      <c r="AT18" s="277" t="s">
        <v>208</v>
      </c>
      <c r="AU18" s="277" t="s">
        <v>208</v>
      </c>
      <c r="AV18" s="277"/>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row>
    <row r="19" spans="1:72" s="3" customFormat="1" ht="209.25" customHeight="1" x14ac:dyDescent="0.25">
      <c r="A19" s="496"/>
      <c r="B19" s="496"/>
      <c r="C19" s="496"/>
      <c r="D19" s="622" t="s">
        <v>213</v>
      </c>
      <c r="E19" s="623">
        <v>1</v>
      </c>
      <c r="F19" s="523" t="s">
        <v>214</v>
      </c>
      <c r="G19" s="523" t="s">
        <v>200</v>
      </c>
      <c r="H19" s="523" t="s">
        <v>215</v>
      </c>
      <c r="I19" s="523" t="s">
        <v>216</v>
      </c>
      <c r="J19" s="523" t="s">
        <v>188</v>
      </c>
      <c r="K19" s="554">
        <v>78</v>
      </c>
      <c r="L19" s="428" t="str">
        <f>IF(K19&lt;=0,"",IF(K19&lt;=2,"Muy Baja",IF(K19&lt;=24,"Baja",IF(K19&lt;=500,"Media",IF(K19&lt;=5000,"Alta","Muy Alta")))))</f>
        <v>Media</v>
      </c>
      <c r="M19" s="430">
        <f>IF(L19="","",IF(L19="Muy Baja",0.2,IF(L19="Baja",0.4,IF(L19="Media",0.6,IF(L19="Alta",0.8,IF(L19="Muy Alta",1,))))))</f>
        <v>0.6</v>
      </c>
      <c r="N19" s="555" t="s">
        <v>217</v>
      </c>
      <c r="O19" s="430" t="str">
        <f>IF(NOT(ISERROR(MATCH(N19,'[2]Tabla Impacto'!$B$221:$B$223,0))),'[2]Tabla Impacto'!$F$223&amp;"Por favor no seleccionar los criterios de impacto(Afectación Económica o presupuestal y Pérdida Reputacional)",N19)</f>
        <v xml:space="preserve">     Mayor a 500 SMLMV </v>
      </c>
      <c r="P19" s="428" t="str">
        <f>IF(OR(O19='[2]Tabla Impacto'!$C$11,O19='[2]Tabla Impacto'!$D$11),"Leve",IF(OR(O19='[2]Tabla Impacto'!$C$12,O19='[2]Tabla Impacto'!$D$12),"Menor",IF(OR(O19='[2]Tabla Impacto'!$C$13,O19='[2]Tabla Impacto'!$D$13),"Moderado",IF(OR(O19='[2]Tabla Impacto'!$C$14,O19='[2]Tabla Impacto'!$D$14),"Mayor",IF(OR(O19='[2]Tabla Impacto'!$C$15,O19='[2]Tabla Impacto'!$D$15),"Catastrófico","")))))</f>
        <v>Catastrófico</v>
      </c>
      <c r="Q19" s="430">
        <f>IF(P19="","",IF(P19="Leve",0.2,IF(P19="Menor",0.4,IF(P19="Moderado",0.6,IF(P19="Mayor",0.8,IF(P19="Catastrófico",1,))))))</f>
        <v>1</v>
      </c>
      <c r="R19" s="484" t="str">
        <f>IF(OR(AND(L19="Muy Baja",P19="Leve"),AND(L19="Muy Baja",P19="Menor"),AND(L19="Baja",P19="Leve")),"Bajo",IF(OR(AND(L19="Muy baja",P19="Moderado"),AND(L19="Baja",P19="Menor"),AND(L19="Baja",P19="Moderado"),AND(L19="Media",P19="Leve"),AND(L19="Media",P19="Menor"),AND(L19="Media",P19="Moderado"),AND(L19="Alta",P19="Leve"),AND(L19="Alta",P19="Menor")),"Moderado",IF(OR(AND(L19="Muy Baja",P19="Mayor"),AND(L19="Baja",P19="Mayor"),AND(L19="Media",P19="Mayor"),AND(L19="Alta",P19="Moderado"),AND(L19="Alta",P19="Mayor"),AND(L19="Muy Alta",P19="Leve"),AND(L19="Muy Alta",P19="Menor"),AND(L19="Muy Alta",P19="Moderado"),AND(L19="Muy Alta",P19="Mayor")),"Alto",IF(OR(AND(L19="Muy Baja",P19="Catastrófico"),AND(L19="Baja",P19="Catastrófico"),AND(L19="Media",P19="Catastrófico"),AND(L19="Alta",P19="Catastrófico"),AND(L19="Muy Alta",P19="Catastrófico")),"Extremo",""))))</f>
        <v>Extremo</v>
      </c>
      <c r="S19" s="125">
        <v>1</v>
      </c>
      <c r="T19" s="259" t="s">
        <v>218</v>
      </c>
      <c r="U19" s="260" t="s">
        <v>154</v>
      </c>
      <c r="V19" s="261" t="s">
        <v>155</v>
      </c>
      <c r="W19" s="261" t="s">
        <v>156</v>
      </c>
      <c r="X19" s="262" t="str">
        <f t="shared" si="9"/>
        <v>40%</v>
      </c>
      <c r="Y19" s="261" t="s">
        <v>157</v>
      </c>
      <c r="Z19" s="261" t="s">
        <v>158</v>
      </c>
      <c r="AA19" s="261" t="s">
        <v>159</v>
      </c>
      <c r="AB19" s="263">
        <f>IFERROR(IF(U19="Probabilidad",(M19-(+M19*X19)),IF(U19="Impacto",M19,"")),"")</f>
        <v>0.36</v>
      </c>
      <c r="AC19" s="269" t="str">
        <f t="shared" si="10"/>
        <v>Baja</v>
      </c>
      <c r="AD19" s="264">
        <f t="shared" si="11"/>
        <v>0.36</v>
      </c>
      <c r="AE19" s="269" t="str">
        <f t="shared" si="12"/>
        <v>Catastrófico</v>
      </c>
      <c r="AF19" s="264">
        <f>IFERROR(IF(U19="Impacto",(Q19-(+Q19*X19)),IF(U19="Probabilidad",Q19,"")),"")</f>
        <v>1</v>
      </c>
      <c r="AG19" s="265" t="str">
        <f t="shared" si="13"/>
        <v>Extremo</v>
      </c>
      <c r="AH19" s="266" t="s">
        <v>160</v>
      </c>
      <c r="AI19" s="466" t="s">
        <v>219</v>
      </c>
      <c r="AJ19" s="187" t="s">
        <v>20</v>
      </c>
      <c r="AK19" s="188" t="s">
        <v>206</v>
      </c>
      <c r="AL19" s="189" t="s">
        <v>220</v>
      </c>
      <c r="AM19" s="131"/>
      <c r="AN19" s="277" t="s">
        <v>165</v>
      </c>
      <c r="AO19" s="267"/>
      <c r="AP19" s="267"/>
      <c r="AQ19" s="267"/>
      <c r="AR19" s="277"/>
      <c r="AS19" s="277"/>
      <c r="AT19" s="277" t="s">
        <v>208</v>
      </c>
      <c r="AU19" s="277" t="s">
        <v>208</v>
      </c>
      <c r="AV19" s="277"/>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row>
    <row r="20" spans="1:72" s="3" customFormat="1" ht="209.25" customHeight="1" x14ac:dyDescent="0.25">
      <c r="A20" s="496"/>
      <c r="B20" s="496"/>
      <c r="C20" s="496"/>
      <c r="D20" s="531"/>
      <c r="E20" s="624"/>
      <c r="F20" s="426"/>
      <c r="G20" s="426"/>
      <c r="H20" s="426"/>
      <c r="I20" s="426"/>
      <c r="J20" s="426"/>
      <c r="K20" s="424"/>
      <c r="L20" s="483"/>
      <c r="M20" s="481"/>
      <c r="N20" s="473"/>
      <c r="O20" s="481"/>
      <c r="P20" s="483"/>
      <c r="Q20" s="481"/>
      <c r="R20" s="498"/>
      <c r="S20" s="125">
        <v>2</v>
      </c>
      <c r="T20" s="259" t="s">
        <v>221</v>
      </c>
      <c r="U20" s="260" t="s">
        <v>49</v>
      </c>
      <c r="V20" s="261" t="s">
        <v>211</v>
      </c>
      <c r="W20" s="261" t="s">
        <v>156</v>
      </c>
      <c r="X20" s="262" t="str">
        <f t="shared" si="9"/>
        <v>25%</v>
      </c>
      <c r="Y20" s="261" t="s">
        <v>157</v>
      </c>
      <c r="Z20" s="261" t="s">
        <v>204</v>
      </c>
      <c r="AA20" s="261" t="s">
        <v>159</v>
      </c>
      <c r="AB20" s="263">
        <f>IFERROR(IF(U20="Probabilidad",(AB19-(+AB19*X20)),IF(U20="Impacto",AB19,"")),"")</f>
        <v>0.36</v>
      </c>
      <c r="AC20" s="269" t="str">
        <f t="shared" si="10"/>
        <v>Baja</v>
      </c>
      <c r="AD20" s="124">
        <f t="shared" si="11"/>
        <v>0.36</v>
      </c>
      <c r="AE20" s="269" t="str">
        <f t="shared" si="12"/>
        <v>Mayor</v>
      </c>
      <c r="AF20" s="264">
        <f>IFERROR(IF(U20="Impacto",(Q19-(+Q19*X20)),IF(U20="Probabilidad",Q19,"")),"")</f>
        <v>0.75</v>
      </c>
      <c r="AG20" s="265" t="str">
        <f t="shared" si="13"/>
        <v>Alto</v>
      </c>
      <c r="AH20" s="266" t="s">
        <v>160</v>
      </c>
      <c r="AI20" s="426"/>
      <c r="AJ20" s="187" t="s">
        <v>20</v>
      </c>
      <c r="AK20" s="188" t="s">
        <v>206</v>
      </c>
      <c r="AL20" s="189" t="s">
        <v>222</v>
      </c>
      <c r="AM20" s="260"/>
      <c r="AN20" s="277" t="s">
        <v>165</v>
      </c>
      <c r="AO20" s="142"/>
      <c r="AP20" s="142"/>
      <c r="AQ20" s="142"/>
      <c r="AR20" s="277"/>
      <c r="AS20" s="277"/>
      <c r="AT20" s="277" t="s">
        <v>208</v>
      </c>
      <c r="AU20" s="277" t="s">
        <v>208</v>
      </c>
      <c r="AV20" s="277"/>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row>
    <row r="21" spans="1:72" s="3" customFormat="1" ht="209.25" customHeight="1" x14ac:dyDescent="0.25">
      <c r="A21" s="496"/>
      <c r="B21" s="496"/>
      <c r="C21" s="496"/>
      <c r="D21" s="531"/>
      <c r="E21" s="625"/>
      <c r="F21" s="427"/>
      <c r="G21" s="427"/>
      <c r="H21" s="427"/>
      <c r="I21" s="427"/>
      <c r="J21" s="427"/>
      <c r="K21" s="425"/>
      <c r="L21" s="429"/>
      <c r="M21" s="431"/>
      <c r="N21" s="473"/>
      <c r="O21" s="481"/>
      <c r="P21" s="429"/>
      <c r="Q21" s="431"/>
      <c r="R21" s="486"/>
      <c r="S21" s="125">
        <v>3</v>
      </c>
      <c r="T21" s="259" t="s">
        <v>567</v>
      </c>
      <c r="U21" s="260" t="s">
        <v>49</v>
      </c>
      <c r="V21" s="261" t="s">
        <v>211</v>
      </c>
      <c r="W21" s="261" t="s">
        <v>156</v>
      </c>
      <c r="X21" s="262" t="str">
        <f t="shared" si="9"/>
        <v>25%</v>
      </c>
      <c r="Y21" s="261" t="s">
        <v>157</v>
      </c>
      <c r="Z21" s="261" t="s">
        <v>204</v>
      </c>
      <c r="AA21" s="261" t="s">
        <v>159</v>
      </c>
      <c r="AB21" s="263">
        <f>IFERROR(IF(U21="Probabilidad",(AB20-(+AB20*X21)),IF(U21="Impacto",AB20,"")),"")</f>
        <v>0.36</v>
      </c>
      <c r="AC21" s="269" t="str">
        <f t="shared" si="10"/>
        <v>Baja</v>
      </c>
      <c r="AD21" s="124">
        <f t="shared" si="11"/>
        <v>0.36</v>
      </c>
      <c r="AE21" s="269" t="str">
        <f t="shared" si="12"/>
        <v>Moderado</v>
      </c>
      <c r="AF21" s="264">
        <f>IFERROR(IF(U21="Impacto",(AF20-(+AF20*X21)),IF(U21="Probabilidad",AF20,"")),"")</f>
        <v>0.5625</v>
      </c>
      <c r="AG21" s="265" t="str">
        <f t="shared" si="13"/>
        <v>Moderado</v>
      </c>
      <c r="AH21" s="266" t="s">
        <v>160</v>
      </c>
      <c r="AI21" s="427"/>
      <c r="AJ21" s="187" t="s">
        <v>20</v>
      </c>
      <c r="AK21" s="188" t="s">
        <v>206</v>
      </c>
      <c r="AL21" s="189" t="s">
        <v>222</v>
      </c>
      <c r="AM21" s="260"/>
      <c r="AN21" s="277" t="s">
        <v>165</v>
      </c>
      <c r="AO21" s="292"/>
      <c r="AP21" s="292"/>
      <c r="AQ21" s="292"/>
      <c r="AR21" s="277"/>
      <c r="AS21" s="277"/>
      <c r="AT21" s="277" t="s">
        <v>208</v>
      </c>
      <c r="AU21" s="277" t="s">
        <v>208</v>
      </c>
      <c r="AV21" s="277"/>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row>
    <row r="22" spans="1:72" s="341" customFormat="1" ht="209.25" customHeight="1" x14ac:dyDescent="0.25">
      <c r="A22" s="496"/>
      <c r="B22" s="496"/>
      <c r="C22" s="496"/>
      <c r="D22" s="531"/>
      <c r="E22" s="321">
        <v>2</v>
      </c>
      <c r="F22" s="322" t="s">
        <v>172</v>
      </c>
      <c r="G22" s="322" t="s">
        <v>552</v>
      </c>
      <c r="H22" s="322" t="s">
        <v>554</v>
      </c>
      <c r="I22" s="322" t="s">
        <v>551</v>
      </c>
      <c r="J22" s="322" t="s">
        <v>568</v>
      </c>
      <c r="K22" s="320">
        <v>350</v>
      </c>
      <c r="L22" s="343" t="str">
        <f>IF(K22&lt;=0,"",IF(K22&lt;=2,"Muy Baja",IF(K22&lt;=24,"Baja",IF(K22&lt;=500,"Media",IF(K22&lt;=5000,"Alta","Muy Alta")))))</f>
        <v>Media</v>
      </c>
      <c r="M22" s="323"/>
      <c r="N22" s="324" t="s">
        <v>503</v>
      </c>
      <c r="O22" s="342" t="str">
        <f ca="1">IF(NOT(ISERROR(MATCH(N22,_xlfn.ANCHORARRAY(I22),0))),M22&amp;"Por favor no seleccionar los criterios de impacto",N22)</f>
        <v xml:space="preserve">Mayor a 500 SMLMV </v>
      </c>
      <c r="P22" s="149" t="str">
        <f ca="1">IF(OR(O22='Tabla Impacto'!$C$4,O22='Tabla Impacto'!$D$4),"Leve",IF(OR(O22='Tabla Impacto'!$C$5,O22='Tabla Impacto'!$D$5),"Menor",IF(OR(O22='Tabla Impacto'!$C$6,O22='Tabla Impacto'!$D$6),"Moderado",IF(OR(O22='Tabla Impacto'!$C$7,O22='Tabla Impacto'!$D$7),"Mayor",IF(OR(O22='Tabla Impacto'!$C$8,O22='Tabla Impacto'!$D$8),"Catastrófico","")))))</f>
        <v>Catastrófico</v>
      </c>
      <c r="Q22" s="323">
        <f ca="1">IF(P22="","",IF(P22="Leve",0.2,IF(P22="Menor",0.4,IF(P22="Moderado",0.6,IF(P22="Mayor",0.8,IF(P22="Catastrófico",1,))))))</f>
        <v>1</v>
      </c>
      <c r="R22" s="325" t="str">
        <f ca="1">IF(OR(AND(L22="Muy Baja",P22="Leve"),AND(L22="Muy Baja",P22="Menor"),AND(L22="Baja",P22="Leve")),"Bajo",IF(OR(AND(L22="Muy baja",P22="Moderado"),AND(L22="Baja",P22="Menor"),AND(L22="Baja",P22="Moderado"),AND(L22="Media",P22="Leve"),AND(L22="Media",P22="Menor"),AND(L22="Media",P22="Moderado"),AND(L22="Alta",P22="Leve"),AND(L22="Alta",P22="Menor")),"Moderado",IF(OR(AND(L22="Muy Baja",P22="Mayor"),AND(L22="Baja",P22="Mayor"),AND(L22="Media",P22="Mayor"),AND(L22="Alta",P22="Moderado"),AND(L22="Alta",P22="Mayor"),AND(L22="Muy Alta",P22="Leve"),AND(L22="Muy Alta",P22="Menor"),AND(L22="Muy Alta",P22="Moderado"),AND(L22="Muy Alta",P22="Mayor")),"Alto",IF(OR(AND(L22="Muy Baja",P22="Catastrófico"),AND(L22="Baja",P22="Catastrófico"),AND(L22="Media",P22="Catastrófico"),AND(L22="Alta",P22="Catastrófico"),AND(L22="Muy Alta",P22="Catastrófico")),"Extremo",""))))</f>
        <v>Extremo</v>
      </c>
      <c r="S22" s="319"/>
      <c r="T22" s="326"/>
      <c r="U22" s="327"/>
      <c r="V22" s="328"/>
      <c r="W22" s="328"/>
      <c r="X22" s="329"/>
      <c r="Y22" s="328"/>
      <c r="Z22" s="328"/>
      <c r="AA22" s="328"/>
      <c r="AB22" s="330"/>
      <c r="AC22" s="331"/>
      <c r="AD22" s="332"/>
      <c r="AE22" s="331"/>
      <c r="AF22" s="333"/>
      <c r="AG22" s="334"/>
      <c r="AH22" s="335"/>
      <c r="AI22" s="322"/>
      <c r="AJ22" s="336"/>
      <c r="AK22" s="337"/>
      <c r="AL22" s="338"/>
      <c r="AM22" s="327"/>
      <c r="AN22" s="340"/>
      <c r="AO22" s="339"/>
      <c r="AP22" s="339"/>
      <c r="AQ22" s="339"/>
      <c r="AR22" s="340"/>
      <c r="AS22" s="340"/>
      <c r="AT22" s="340"/>
      <c r="AU22" s="340"/>
      <c r="AV22" s="340"/>
    </row>
    <row r="23" spans="1:72" s="3" customFormat="1" ht="209.25" customHeight="1" x14ac:dyDescent="0.25">
      <c r="A23" s="496"/>
      <c r="B23" s="496"/>
      <c r="C23" s="496"/>
      <c r="D23" s="532"/>
      <c r="E23" s="158">
        <v>3</v>
      </c>
      <c r="F23" s="298" t="s">
        <v>223</v>
      </c>
      <c r="G23" s="298" t="s">
        <v>200</v>
      </c>
      <c r="H23" s="298" t="s">
        <v>224</v>
      </c>
      <c r="I23" s="299" t="s">
        <v>225</v>
      </c>
      <c r="J23" s="298" t="s">
        <v>226</v>
      </c>
      <c r="K23" s="301">
        <v>66</v>
      </c>
      <c r="L23" s="287" t="str">
        <f>IF(K23&lt;=0,"",IF(K19&lt;=2,"Muy Baja",IF(K19&lt;=24,"Baja",IF(K19&lt;=500,"Media",IF(K19&lt;=5000,"Alta","Muy Alta")))))</f>
        <v>Media</v>
      </c>
      <c r="M23" s="296">
        <f>IF(L23="","",IF(L19="Muy Baja",0.2,IF(L19="Baja",0.4,IF(L19="Media",0.6,IF(L19="Alta",0.8,IF(L19="Muy Alta",1,))))))</f>
        <v>0.6</v>
      </c>
      <c r="N23" s="302" t="s">
        <v>227</v>
      </c>
      <c r="O23" s="296" t="str">
        <f ca="1">IF(NOT(ISERROR(MATCH(N23,_xlfn.ANCHORARRAY(I34),0))),M36&amp;"Por favor no seleccionar los criterios de impacto",N23)</f>
        <v xml:space="preserve">     Entre 50 y 100 SMLMV </v>
      </c>
      <c r="P23" s="149" t="str">
        <f ca="1">IF(OR(O23='[2]Tabla Impacto'!$C$11,O23='[2]Tabla Impacto'!$D$11),"Leve",IF(OR(O23='[2]Tabla Impacto'!$C$12,O23='[2]Tabla Impacto'!$D$12),"Menor",IF(OR(O23='[2]Tabla Impacto'!$C$13,O23='[2]Tabla Impacto'!$D$13),"Moderado",IF(OR(O23='[2]Tabla Impacto'!$C$14,O23='[2]Tabla Impacto'!$D$14),"Mayor",IF(OR(O23='[2]Tabla Impacto'!$C$15,O23='[2]Tabla Impacto'!$D$15),"Catastrófico","")))))</f>
        <v>Moderado</v>
      </c>
      <c r="Q23" s="296">
        <f ca="1">IF(P23="","",IF(P19="Leve",0.2,IF(P19="Menor",0.4,IF(P19="Moderado",0.6,IF(P19="Mayor",0.8,IF(P19="Catastrófico",1,))))))</f>
        <v>1</v>
      </c>
      <c r="R23" s="151" t="str">
        <f ca="1">IF(OR(AND(L23="Muy Baja",P23="Leve"),AND(L23="Muy Baja",P23="Menor"),AND(L23="Baja",P23="Leve")),"Bajo",IF(OR(AND(L23="Muy baja",P23="Moderado"),AND(L23="Baja",P23="Menor"),AND(L23="Baja",P23="Moderado"),AND(L23="Media",P23="Leve"),AND(L23="Media",P23="Menor"),AND(L23="Media",P23="Moderado"),AND(L23="Alta",P23="Leve"),AND(L23="Alta",P23="Menor")),"Moderado",IF(OR(AND(L19="Muy Baja",P23="Mayor"),AND(L23="Baja",P23="Mayor"),AND(L23="Media",P19="Mayor"),AND(L23="Alta",P19="Moderado"),AND(L19="Alta",P19="Mayor"),AND(L19="Muy Alta",P19="Leve"),AND(L19="Muy Alta",P19="Menor"),AND(L19="Muy Alta",P19="Moderado"),AND(L19="Muy Alta",P19="Mayor")),"Alto",IF(OR(AND(L19="Muy Baja",P19="Catastrófico"),AND(L19="Baja",P19="Catastrófico"),AND(L19="Media",P19="Catastrófico"),AND(L19="Alta",P19="Catastrófico"),AND(L19="Muy Alta",P19="Catastrófico")),"Extremo",""))))</f>
        <v>Moderado</v>
      </c>
      <c r="S23" s="6">
        <v>6</v>
      </c>
      <c r="T23" s="44" t="s">
        <v>228</v>
      </c>
      <c r="U23" s="184" t="str">
        <f t="shared" ref="U23" si="14">IF(OR(V23="Preventivo",V23="Detectivo"),"Probabilidad",IF(V23="Correctivo","Impacto",""))</f>
        <v>Impacto</v>
      </c>
      <c r="V23" s="45" t="s">
        <v>211</v>
      </c>
      <c r="W23" s="45" t="s">
        <v>156</v>
      </c>
      <c r="X23" s="46" t="str">
        <f t="shared" ref="X23:X26" si="15">IF(AND(V23="Preventivo",W23="Automático"),"50%",IF(AND(V23="Preventivo",W23="Manual"),"40%",IF(AND(V23="Detectivo",W23="Automático"),"40%",IF(AND(V23="Detectivo",W23="Manual"),"30%",IF(AND(V23="Correctivo",W23="Automático"),"35%",IF(AND(V23="Correctivo",W23="Manual"),"25%",""))))))</f>
        <v>25%</v>
      </c>
      <c r="Y23" s="45" t="s">
        <v>157</v>
      </c>
      <c r="Z23" s="45" t="s">
        <v>204</v>
      </c>
      <c r="AA23" s="45" t="s">
        <v>159</v>
      </c>
      <c r="AB23" s="23">
        <f>IFERROR(IF(U23="Probabilidad",(AB20-(+AB20*X23)),IF(U21="Impacto",AB20,"")),"")</f>
        <v>0.36</v>
      </c>
      <c r="AC23" s="47" t="str">
        <f t="shared" ref="AC23:AC25" si="16">IFERROR(IF(AB23="","",IF(AB23&lt;=0.2,"Muy Baja",IF(AB23&lt;=0.4,"Baja",IF(AB23&lt;=0.6,"Media",IF(AB23&lt;=0.8,"Alta","Muy Alta"))))),"")</f>
        <v>Baja</v>
      </c>
      <c r="AD23" s="185">
        <f t="shared" ref="AD23:AD25" si="17">+AB23</f>
        <v>0.36</v>
      </c>
      <c r="AE23" s="269" t="str">
        <f t="shared" si="12"/>
        <v>Moderado</v>
      </c>
      <c r="AF23" s="264">
        <f>IFERROR(IF(U23="Impacto",(AF21-(+AF21*X23)),IF(U23="Probabilidad",AF21,"")),"")</f>
        <v>0.421875</v>
      </c>
      <c r="AG23" s="265" t="str">
        <f t="shared" si="13"/>
        <v>Moderado</v>
      </c>
      <c r="AH23" s="186" t="s">
        <v>160</v>
      </c>
      <c r="AI23" s="48" t="s">
        <v>229</v>
      </c>
      <c r="AJ23" s="187" t="s">
        <v>20</v>
      </c>
      <c r="AK23" s="188" t="s">
        <v>206</v>
      </c>
      <c r="AL23" s="189" t="s">
        <v>222</v>
      </c>
      <c r="AM23" s="48"/>
      <c r="AN23" s="277" t="s">
        <v>165</v>
      </c>
      <c r="AO23" s="43"/>
      <c r="AP23" s="43"/>
      <c r="AQ23" s="43"/>
      <c r="AR23" s="43"/>
      <c r="AS23" s="43"/>
      <c r="AT23" s="43" t="s">
        <v>166</v>
      </c>
      <c r="AU23" s="43" t="s">
        <v>166</v>
      </c>
      <c r="AV23" s="43"/>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row>
    <row r="24" spans="1:72" s="3" customFormat="1" ht="209.25" customHeight="1" x14ac:dyDescent="0.25">
      <c r="A24" s="496"/>
      <c r="B24" s="496"/>
      <c r="C24" s="496"/>
      <c r="D24" s="622" t="s">
        <v>230</v>
      </c>
      <c r="E24" s="490">
        <v>1</v>
      </c>
      <c r="F24" s="523" t="s">
        <v>172</v>
      </c>
      <c r="G24" s="523" t="s">
        <v>231</v>
      </c>
      <c r="H24" s="523" t="s">
        <v>232</v>
      </c>
      <c r="I24" s="523" t="s">
        <v>569</v>
      </c>
      <c r="J24" s="523" t="s">
        <v>188</v>
      </c>
      <c r="K24" s="554">
        <v>15</v>
      </c>
      <c r="L24" s="428" t="str">
        <f>IF(K24&lt;=0,"",IF(K24&lt;=2,"Muy Baja",IF(K24&lt;=24,"Baja",IF(K24&lt;=500,"Media",IF(K24&lt;=5000,"Alta","Muy Alta")))))</f>
        <v>Baja</v>
      </c>
      <c r="M24" s="430">
        <f>IF(L24="","",IF(L24="Muy Baja",0.2,IF(L24="Baja",0.4,IF(L24="Media",0.6,IF(L24="Alta",0.8,IF(L24="Muy Alta",1,))))))</f>
        <v>0.4</v>
      </c>
      <c r="N24" s="555" t="s">
        <v>152</v>
      </c>
      <c r="O24" s="430" t="str">
        <f ca="1">IF(NOT(ISERROR(MATCH(N24,_xlfn.ANCHORARRAY(I24),0))),M24&amp;"Por favor no seleccionar los criterios de impacto",N24)</f>
        <v xml:space="preserve">     El riesgo afecta la imagen de la entidad con algunos usuarios de relevancia frente al logro de los objetivos</v>
      </c>
      <c r="P24" s="428" t="str">
        <f ca="1">IF(OR(O24='[1]Tabla Impacto'!$C$11,O24='[1]Tabla Impacto'!$D$11),"Leve",IF(OR(O24='[1]Tabla Impacto'!$C$12,O24='[1]Tabla Impacto'!$D$12),"Menor",IF(OR(O24='[1]Tabla Impacto'!$C$13,O24='[1]Tabla Impacto'!$D$13),"Moderado",IF(OR(O24='[1]Tabla Impacto'!$C$14,O24='[1]Tabla Impacto'!$D$14),"Mayor",IF(OR(O24='[1]Tabla Impacto'!$C$15,O24='[1]Tabla Impacto'!$D$15),"Catastrófico","")))))</f>
        <v>Moderado</v>
      </c>
      <c r="Q24" s="430">
        <f ca="1">IF(P24="","",IF(P24="Leve",0.2,IF(P24="Menor",0.4,IF(P24="Moderado",0.6,IF(P24="Mayor",0.8,IF(P24="Catastrófico",1,))))))</f>
        <v>0.6</v>
      </c>
      <c r="R24" s="484" t="str">
        <f ca="1">IF(OR(AND(L24="Muy Baja",P24="Leve"),AND(L24="Muy Baja",P24="Menor"),AND(L24="Baja",P24="Leve")),"Bajo",IF(OR(AND(L24="Muy baja",P24="Moderado"),AND(L24="Baja",P24="Menor"),AND(L24="Baja",P24="Moderado"),AND(L24="Media",P24="Leve"),AND(L24="Media",P24="Menor"),AND(L24="Media",P24="Moderado"),AND(L24="Alta",P24="Leve"),AND(L24="Alta",P24="Menor")),"Moderado",IF(OR(AND(L24="Muy Baja",P24="Mayor"),AND(L24="Baja",P24="Mayor"),AND(L24="Media",P24="Mayor"),AND(L24="Alta",P24="Moderado"),AND(L24="Alta",P24="Mayor"),AND(L24="Muy Alta",P24="Leve"),AND(L24="Muy Alta",P24="Menor"),AND(L24="Muy Alta",P24="Moderado"),AND(L24="Muy Alta",P24="Mayor")),"Alto",IF(OR(AND(L24="Muy Baja",P24="Catastrófico"),AND(L24="Baja",P24="Catastrófico"),AND(L24="Media",P24="Catastrófico"),AND(L24="Alta",P24="Catastrófico"),AND(L24="Muy Alta",P24="Catastrófico")),"Extremo",""))))</f>
        <v>Moderado</v>
      </c>
      <c r="S24" s="125">
        <v>1</v>
      </c>
      <c r="T24" s="259" t="s">
        <v>233</v>
      </c>
      <c r="U24" s="260" t="s">
        <v>154</v>
      </c>
      <c r="V24" s="261" t="s">
        <v>155</v>
      </c>
      <c r="W24" s="261" t="s">
        <v>156</v>
      </c>
      <c r="X24" s="262" t="str">
        <f t="shared" si="15"/>
        <v>40%</v>
      </c>
      <c r="Y24" s="261" t="s">
        <v>157</v>
      </c>
      <c r="Z24" s="261" t="s">
        <v>158</v>
      </c>
      <c r="AA24" s="261" t="s">
        <v>159</v>
      </c>
      <c r="AB24" s="263">
        <f>IFERROR(IF(U24="Probabilidad",(M24-(+M24*X24)),IF(U24="Impacto",M24,"")),"")</f>
        <v>0.24</v>
      </c>
      <c r="AC24" s="269" t="str">
        <f t="shared" si="16"/>
        <v>Baja</v>
      </c>
      <c r="AD24" s="264">
        <f t="shared" si="17"/>
        <v>0.24</v>
      </c>
      <c r="AE24" s="269" t="str">
        <f t="shared" ref="AE24:AE25" ca="1" si="18">IFERROR(IF(AF24="","",IF(AF24&lt;=0.2,"Leve",IF(AF24&lt;=0.4,"Menor",IF(AF24&lt;=0.6,"Moderado",IF(AF24&lt;=0.8,"Mayor","Catastrófico"))))),"")</f>
        <v>Moderado</v>
      </c>
      <c r="AF24" s="264">
        <f ca="1">IFERROR(IF(U24="Impacto",(Q24-(+Q24*X24)),IF(U24="Probabilidad",Q24,"")),"")</f>
        <v>0.6</v>
      </c>
      <c r="AG24" s="265" t="str">
        <f t="shared" ref="AG24:AG25" ca="1" si="19">IFERROR(IF(OR(AND(AC24="Muy Baja",AE24="Leve"),AND(AC24="Muy Baja",AE24="Menor"),AND(AC24="Baja",AE24="Leve")),"Bajo",IF(OR(AND(AC24="Muy baja",AE24="Moderado"),AND(AC24="Baja",AE24="Menor"),AND(AC24="Baja",AE24="Moderado"),AND(AC24="Media",AE24="Leve"),AND(AC24="Media",AE24="Menor"),AND(AC24="Media",AE24="Moderado"),AND(AC24="Alta",AE24="Leve"),AND(AC24="Alta",AE24="Menor")),"Moderado",IF(OR(AND(AC24="Muy Baja",AE24="Mayor"),AND(AC24="Baja",AE24="Mayor"),AND(AC24="Media",AE24="Mayor"),AND(AC24="Alta",AE24="Moderado"),AND(AC24="Alta",AE24="Mayor"),AND(AC24="Muy Alta",AE24="Leve"),AND(AC24="Muy Alta",AE24="Menor"),AND(AC24="Muy Alta",AE24="Moderado"),AND(AC24="Muy Alta",AE24="Mayor")),"Alto",IF(OR(AND(AC24="Muy Baja",AE24="Catastrófico"),AND(AC24="Baja",AE24="Catastrófico"),AND(AC24="Media",AE24="Catastrófico"),AND(AC24="Alta",AE24="Catastrófico"),AND(AC24="Muy Alta",AE24="Catastrófico")),"Extremo","")))),"")</f>
        <v>Moderado</v>
      </c>
      <c r="AH24" s="266" t="s">
        <v>160</v>
      </c>
      <c r="AI24" s="466" t="s">
        <v>234</v>
      </c>
      <c r="AJ24" s="187" t="s">
        <v>18</v>
      </c>
      <c r="AK24" s="188" t="s">
        <v>235</v>
      </c>
      <c r="AL24" s="188" t="s">
        <v>235</v>
      </c>
      <c r="AM24" s="131"/>
      <c r="AN24" s="277" t="s">
        <v>165</v>
      </c>
      <c r="AO24" s="468"/>
      <c r="AP24" s="468"/>
      <c r="AQ24" s="468"/>
      <c r="AR24" s="277"/>
      <c r="AS24" s="277"/>
      <c r="AT24" s="277" t="s">
        <v>208</v>
      </c>
      <c r="AU24" s="277" t="s">
        <v>208</v>
      </c>
      <c r="AV24" s="277"/>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row>
    <row r="25" spans="1:72" s="3" customFormat="1" ht="209.25" customHeight="1" x14ac:dyDescent="0.25">
      <c r="A25" s="496"/>
      <c r="B25" s="496"/>
      <c r="C25" s="496"/>
      <c r="D25" s="531"/>
      <c r="E25" s="491"/>
      <c r="F25" s="426"/>
      <c r="G25" s="426"/>
      <c r="H25" s="426"/>
      <c r="I25" s="426"/>
      <c r="J25" s="426"/>
      <c r="K25" s="424"/>
      <c r="L25" s="483"/>
      <c r="M25" s="481"/>
      <c r="N25" s="473"/>
      <c r="O25" s="481"/>
      <c r="P25" s="483"/>
      <c r="Q25" s="481"/>
      <c r="R25" s="498"/>
      <c r="S25" s="125">
        <v>2</v>
      </c>
      <c r="T25" s="259" t="s">
        <v>236</v>
      </c>
      <c r="U25" s="260" t="s">
        <v>154</v>
      </c>
      <c r="V25" s="261" t="s">
        <v>155</v>
      </c>
      <c r="W25" s="261" t="s">
        <v>156</v>
      </c>
      <c r="X25" s="262" t="str">
        <f t="shared" si="15"/>
        <v>40%</v>
      </c>
      <c r="Y25" s="261" t="s">
        <v>157</v>
      </c>
      <c r="Z25" s="261" t="s">
        <v>158</v>
      </c>
      <c r="AA25" s="261" t="s">
        <v>159</v>
      </c>
      <c r="AB25" s="263">
        <f>IFERROR(IF(U25="Probabilidad",(AB24-(+AB24*X25)),IF(U25="Impacto",AB24,"")),"")</f>
        <v>0.14399999999999999</v>
      </c>
      <c r="AC25" s="269" t="str">
        <f t="shared" si="16"/>
        <v>Muy Baja</v>
      </c>
      <c r="AD25" s="124">
        <f t="shared" si="17"/>
        <v>0.14399999999999999</v>
      </c>
      <c r="AE25" s="269" t="str">
        <f t="shared" ca="1" si="18"/>
        <v>Moderado</v>
      </c>
      <c r="AF25" s="264">
        <f ca="1">IFERROR(IF(U25="Impacto",(Q24-(+Q24*X25)),IF(U25="Probabilidad",Q24,"")),"")</f>
        <v>0.6</v>
      </c>
      <c r="AG25" s="265" t="str">
        <f t="shared" ca="1" si="19"/>
        <v>Moderado</v>
      </c>
      <c r="AH25" s="266" t="s">
        <v>160</v>
      </c>
      <c r="AI25" s="426"/>
      <c r="AJ25" s="187" t="s">
        <v>18</v>
      </c>
      <c r="AK25" s="188" t="s">
        <v>235</v>
      </c>
      <c r="AL25" s="188" t="s">
        <v>235</v>
      </c>
      <c r="AM25" s="131"/>
      <c r="AN25" s="277" t="s">
        <v>165</v>
      </c>
      <c r="AO25" s="425"/>
      <c r="AP25" s="425"/>
      <c r="AQ25" s="425"/>
      <c r="AR25" s="277"/>
      <c r="AS25" s="277"/>
      <c r="AT25" s="277" t="s">
        <v>208</v>
      </c>
      <c r="AU25" s="277" t="s">
        <v>208</v>
      </c>
      <c r="AV25" s="277"/>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row>
    <row r="26" spans="1:72" s="3" customFormat="1" ht="209.25" customHeight="1" x14ac:dyDescent="0.25">
      <c r="A26" s="496"/>
      <c r="B26" s="496"/>
      <c r="C26" s="496"/>
      <c r="D26" s="532"/>
      <c r="E26" s="491"/>
      <c r="F26" s="426"/>
      <c r="G26" s="426"/>
      <c r="H26" s="426"/>
      <c r="I26" s="426"/>
      <c r="J26" s="426"/>
      <c r="K26" s="424"/>
      <c r="L26" s="429"/>
      <c r="M26" s="431"/>
      <c r="N26" s="482"/>
      <c r="O26" s="431"/>
      <c r="P26" s="429"/>
      <c r="Q26" s="431"/>
      <c r="R26" s="486"/>
      <c r="S26" s="125">
        <v>3</v>
      </c>
      <c r="T26" s="259" t="s">
        <v>237</v>
      </c>
      <c r="U26" s="260" t="s">
        <v>154</v>
      </c>
      <c r="V26" s="261" t="s">
        <v>155</v>
      </c>
      <c r="W26" s="261" t="s">
        <v>156</v>
      </c>
      <c r="X26" s="262" t="str">
        <f t="shared" si="15"/>
        <v>40%</v>
      </c>
      <c r="Y26" s="261" t="s">
        <v>157</v>
      </c>
      <c r="Z26" s="261" t="s">
        <v>158</v>
      </c>
      <c r="AA26" s="261" t="s">
        <v>159</v>
      </c>
      <c r="AB26" s="263">
        <f>IFERROR(IF(U26="Probabilidad",(AB25-(+AB25*X26)),IF(U26="Impacto",AB25,"")),"")</f>
        <v>8.6399999999999991E-2</v>
      </c>
      <c r="AC26" s="269" t="str">
        <f t="shared" ref="AC26" si="20">IFERROR(IF(AB26="","",IF(AB26&lt;=0.2,"Muy Baja",IF(AB26&lt;=0.4,"Baja",IF(AB26&lt;=0.6,"Media",IF(AB26&lt;=0.8,"Alta","Muy Alta"))))),"")</f>
        <v>Muy Baja</v>
      </c>
      <c r="AD26" s="124">
        <f t="shared" ref="AD26" si="21">+AB26</f>
        <v>8.6399999999999991E-2</v>
      </c>
      <c r="AE26" s="269" t="str">
        <f t="shared" ref="AE26" si="22">IFERROR(IF(AF26="","",IF(AF26&lt;=0.2,"Leve",IF(AF26&lt;=0.4,"Menor",IF(AF26&lt;=0.6,"Moderado",IF(AF26&lt;=0.8,"Mayor","Catastrófico"))))),"")</f>
        <v>Leve</v>
      </c>
      <c r="AF26" s="264">
        <f>IFERROR(IF(U26="Impacto",(Q25-(+Q25*X26)),IF(U26="Probabilidad",Q25,"")),"")</f>
        <v>0</v>
      </c>
      <c r="AG26" s="265" t="str">
        <f t="shared" ref="AG26" si="23">IFERROR(IF(OR(AND(AC26="Muy Baja",AE26="Leve"),AND(AC26="Muy Baja",AE26="Menor"),AND(AC26="Baja",AE26="Leve")),"Bajo",IF(OR(AND(AC26="Muy baja",AE26="Moderado"),AND(AC26="Baja",AE26="Menor"),AND(AC26="Baja",AE26="Moderado"),AND(AC26="Media",AE26="Leve"),AND(AC26="Media",AE26="Menor"),AND(AC26="Media",AE26="Moderado"),AND(AC26="Alta",AE26="Leve"),AND(AC26="Alta",AE26="Menor")),"Moderado",IF(OR(AND(AC26="Muy Baja",AE26="Mayor"),AND(AC26="Baja",AE26="Mayor"),AND(AC26="Media",AE26="Mayor"),AND(AC26="Alta",AE26="Moderado"),AND(AC26="Alta",AE26="Mayor"),AND(AC26="Muy Alta",AE26="Leve"),AND(AC26="Muy Alta",AE26="Menor"),AND(AC26="Muy Alta",AE26="Moderado"),AND(AC26="Muy Alta",AE26="Mayor")),"Alto",IF(OR(AND(AC26="Muy Baja",AE26="Catastrófico"),AND(AC26="Baja",AE26="Catastrófico"),AND(AC26="Media",AE26="Catastrófico"),AND(AC26="Alta",AE26="Catastrófico"),AND(AC26="Muy Alta",AE26="Catastrófico")),"Extremo","")))),"")</f>
        <v>Bajo</v>
      </c>
      <c r="AH26" s="266" t="s">
        <v>160</v>
      </c>
      <c r="AI26" s="427"/>
      <c r="AJ26" s="187" t="s">
        <v>18</v>
      </c>
      <c r="AK26" s="188" t="s">
        <v>235</v>
      </c>
      <c r="AL26" s="188" t="s">
        <v>235</v>
      </c>
      <c r="AM26" s="131"/>
      <c r="AN26" s="277" t="s">
        <v>165</v>
      </c>
      <c r="AO26" s="277"/>
      <c r="AP26" s="267"/>
      <c r="AQ26" s="267"/>
      <c r="AR26" s="277"/>
      <c r="AS26" s="277"/>
      <c r="AT26" s="277" t="s">
        <v>208</v>
      </c>
      <c r="AU26" s="277" t="s">
        <v>208</v>
      </c>
      <c r="AV26" s="277"/>
      <c r="AW26" s="26"/>
      <c r="AX26" s="26"/>
      <c r="AY26" s="26"/>
      <c r="AZ26" s="26"/>
      <c r="BA26" s="26"/>
      <c r="BB26" s="26"/>
      <c r="BC26" s="26"/>
      <c r="BD26" s="26"/>
      <c r="BE26" s="26"/>
      <c r="BF26" s="26"/>
      <c r="BG26" s="26"/>
      <c r="BH26" s="26"/>
      <c r="BI26" s="26"/>
      <c r="BJ26" s="26"/>
      <c r="BK26" s="26"/>
      <c r="BL26" s="26"/>
      <c r="BM26" s="26"/>
      <c r="BN26" s="26"/>
      <c r="BO26" s="26"/>
      <c r="BP26" s="26"/>
      <c r="BQ26" s="26"/>
      <c r="BR26" s="26"/>
      <c r="BS26" s="26"/>
      <c r="BT26" s="26"/>
    </row>
    <row r="27" spans="1:72" s="3" customFormat="1" ht="225" customHeight="1" x14ac:dyDescent="0.25">
      <c r="A27" s="496"/>
      <c r="B27" s="496"/>
      <c r="C27" s="496"/>
      <c r="D27" s="529" t="s">
        <v>238</v>
      </c>
      <c r="E27" s="491">
        <v>1</v>
      </c>
      <c r="F27" s="426" t="s">
        <v>199</v>
      </c>
      <c r="G27" s="426" t="s">
        <v>200</v>
      </c>
      <c r="H27" s="426" t="s">
        <v>239</v>
      </c>
      <c r="I27" s="426" t="s">
        <v>240</v>
      </c>
      <c r="J27" s="426" t="s">
        <v>151</v>
      </c>
      <c r="K27" s="424">
        <v>350</v>
      </c>
      <c r="L27" s="428" t="str">
        <f>IF(K27&lt;=0,"",IF(K27&lt;=2,"Muy Baja",IF(K27&lt;=24,"Baja",IF(K27&lt;=500,"Media",IF(K27&lt;=5000,"Alta","Muy Alta")))))</f>
        <v>Media</v>
      </c>
      <c r="M27" s="430">
        <f>IF(L27="","",IF(L27="Muy Baja",0.2,IF(L27="Baja",0.4,IF(L27="Media",0.6,IF(L27="Alta",0.8,IF(L27="Muy Alta",1,))))))</f>
        <v>0.6</v>
      </c>
      <c r="N27" s="555" t="str">
        <f>'Tabla Impacto'!D7</f>
        <v>El riesgo afecta la imagen de de la entidad con efecto publicitario sostenido a nivel de sector administrativo, nivel departamental o municipal</v>
      </c>
      <c r="O27" s="430" t="str">
        <f>IF(NOT(ISERROR(MATCH(N27,'[3]Tabla Impacto'!$B$221:$B$223,0))),'[3]Tabla Impacto'!$F$223&amp;"Por favor no seleccionar los criterios de impacto(Afectación Económica o presupuestal y Pérdida Reputacional)",N27)</f>
        <v>El riesgo afecta la imagen de de la entidad con efecto publicitario sostenido a nivel de sector administrativo, nivel departamental o municipal</v>
      </c>
      <c r="P27" s="428" t="str">
        <f>IF(OR(O27='Tabla Impacto'!$C$4,O27='Tabla Impacto'!$D$4),"Leve",IF(OR(O27='Tabla Impacto'!$C$5,O27='Tabla Impacto'!$D$5),"Menor",IF(OR(O27='Tabla Impacto'!$C$6,O27='Tabla Impacto'!$D$6),"Moderado",IF(OR(O27='Tabla Impacto'!$C$7,O27='Tabla Impacto'!$D$7),"Mayor",IF(OR(O27='Tabla Impacto'!$C$8,O27='Tabla Impacto'!$D$8),"Catastrófico","")))))</f>
        <v>Mayor</v>
      </c>
      <c r="Q27" s="430">
        <f>IF(P27="","",IF(P27="Leve",0.2,IF(P27="Menor",0.4,IF(P27="Moderado",0.6,IF(P27="Mayor",0.8,IF(P27="Catastrófico",1,))))))</f>
        <v>0.8</v>
      </c>
      <c r="R27" s="484" t="str">
        <f>IF(OR(AND(L27="Muy Baja",P27="Leve"),AND(L27="Muy Baja",P27="Menor"),AND(L27="Baja",P27="Leve")),"Bajo",IF(OR(AND(L27="Muy baja",P27="Moderado"),AND(L27="Baja",P27="Menor"),AND(L27="Baja",P27="Moderado"),AND(L27="Media",P27="Leve"),AND(L27="Media",P27="Menor"),AND(L27="Media",P27="Moderado"),AND(L27="Alta",P27="Leve"),AND(L27="Alta",P27="Menor")),"Moderado",IF(OR(AND(L27="Muy Baja",P27="Mayor"),AND(L27="Baja",P27="Mayor"),AND(L27="Media",P27="Mayor"),AND(L27="Alta",P27="Moderado"),AND(L27="Alta",P27="Mayor"),AND(L27="Muy Alta",P27="Leve"),AND(L27="Muy Alta",P27="Menor"),AND(L27="Muy Alta",P27="Moderado"),AND(L27="Muy Alta",P27="Mayor")),"Alto",IF(OR(AND(L27="Muy Baja",P27="Catastrófico"),AND(L27="Baja",P27="Catastrófico"),AND(L27="Media",P27="Catastrófico"),AND(L27="Alta",P27="Catastrófico"),AND(L27="Muy Alta",P27="Catastrófico")),"Extremo",""))))</f>
        <v>Alto</v>
      </c>
      <c r="S27" s="125">
        <v>1</v>
      </c>
      <c r="T27" s="259" t="s">
        <v>241</v>
      </c>
      <c r="U27" s="260" t="str">
        <f>IF(OR(V27="Preventivo",V27="Detectivo"),"Probabilidad",IF(V27="Correctivo","Impacto",""))</f>
        <v>Probabilidad</v>
      </c>
      <c r="V27" s="261" t="s">
        <v>155</v>
      </c>
      <c r="W27" s="261" t="s">
        <v>156</v>
      </c>
      <c r="X27" s="262" t="str">
        <f t="shared" ref="X27:X30" si="24">IF(AND(V27="Preventivo",W27="Automático"),"50%",IF(AND(V27="Preventivo",W27="Manual"),"40%",IF(AND(V27="Detectivo",W27="Automático"),"40%",IF(AND(V27="Detectivo",W27="Manual"),"30%",IF(AND(V27="Correctivo",W27="Automático"),"35%",IF(AND(V27="Correctivo",W27="Manual"),"25%",""))))))</f>
        <v>40%</v>
      </c>
      <c r="Y27" s="261" t="s">
        <v>157</v>
      </c>
      <c r="Z27" s="261" t="s">
        <v>158</v>
      </c>
      <c r="AA27" s="261" t="s">
        <v>159</v>
      </c>
      <c r="AB27" s="263">
        <f>IFERROR(IF(U27="Probabilidad",(M27-(+M27*X27)),IF(U27="Impacto",M27,"")),"")</f>
        <v>0.36</v>
      </c>
      <c r="AC27" s="269" t="str">
        <f t="shared" ref="AC27:AC30" si="25">IFERROR(IF(AB27="","",IF(AB27&lt;=0.2,"Muy Baja",IF(AB27&lt;=0.4,"Baja",IF(AB27&lt;=0.6,"Media",IF(AB27&lt;=0.8,"Alta","Muy Alta"))))),"")</f>
        <v>Baja</v>
      </c>
      <c r="AD27" s="264">
        <f t="shared" ref="AD27:AD30" si="26">+AB27</f>
        <v>0.36</v>
      </c>
      <c r="AE27" s="269" t="str">
        <f t="shared" ref="AE27:AE30" si="27">IFERROR(IF(AF27="","",IF(AF27&lt;=0.2,"Leve",IF(AF27&lt;=0.4,"Menor",IF(AF27&lt;=0.6,"Moderado",IF(AF27&lt;=0.8,"Mayor","Catastrófico"))))),"")</f>
        <v>Mayor</v>
      </c>
      <c r="AF27" s="264">
        <f>IFERROR(IF(U27="Impacto",(Q27-(+Q27*X27)),IF(U27="Probabilidad",Q27,"")),"")</f>
        <v>0.8</v>
      </c>
      <c r="AG27" s="265" t="str">
        <f t="shared" ref="AG27:AG30" si="28">IFERROR(IF(OR(AND(AC27="Muy Baja",AE27="Leve"),AND(AC27="Muy Baja",AE27="Menor"),AND(AC27="Baja",AE27="Leve")),"Bajo",IF(OR(AND(AC27="Muy baja",AE27="Moderado"),AND(AC27="Baja",AE27="Menor"),AND(AC27="Baja",AE27="Moderado"),AND(AC27="Media",AE27="Leve"),AND(AC27="Media",AE27="Menor"),AND(AC27="Media",AE27="Moderado"),AND(AC27="Alta",AE27="Leve"),AND(AC27="Alta",AE27="Menor")),"Moderado",IF(OR(AND(AC27="Muy Baja",AE27="Mayor"),AND(AC27="Baja",AE27="Mayor"),AND(AC27="Media",AE27="Mayor"),AND(AC27="Alta",AE27="Moderado"),AND(AC27="Alta",AE27="Mayor"),AND(AC27="Muy Alta",AE27="Leve"),AND(AC27="Muy Alta",AE27="Menor"),AND(AC27="Muy Alta",AE27="Moderado"),AND(AC27="Muy Alta",AE27="Mayor")),"Alto",IF(OR(AND(AC27="Muy Baja",AE27="Catastrófico"),AND(AC27="Baja",AE27="Catastrófico"),AND(AC27="Media",AE27="Catastrófico"),AND(AC27="Alta",AE27="Catastrófico"),AND(AC27="Muy Alta",AE27="Catastrófico")),"Extremo","")))),"")</f>
        <v>Alto</v>
      </c>
      <c r="AH27" s="266" t="s">
        <v>160</v>
      </c>
      <c r="AI27" s="466" t="s">
        <v>242</v>
      </c>
      <c r="AJ27" s="187" t="s">
        <v>243</v>
      </c>
      <c r="AK27" s="188" t="s">
        <v>244</v>
      </c>
      <c r="AL27" s="189" t="s">
        <v>207</v>
      </c>
      <c r="AM27" s="131" t="s">
        <v>245</v>
      </c>
      <c r="AN27" s="277" t="s">
        <v>165</v>
      </c>
      <c r="AO27" s="470"/>
      <c r="AP27" s="468"/>
      <c r="AQ27" s="468"/>
      <c r="AR27" s="277"/>
      <c r="AS27" s="277"/>
      <c r="AT27" s="277" t="s">
        <v>208</v>
      </c>
      <c r="AU27" s="277" t="s">
        <v>208</v>
      </c>
      <c r="AV27" s="277"/>
      <c r="AW27" s="26"/>
      <c r="AX27" s="26"/>
      <c r="AY27" s="26"/>
      <c r="AZ27" s="26"/>
      <c r="BA27" s="26"/>
      <c r="BB27" s="26"/>
      <c r="BC27" s="26"/>
      <c r="BD27" s="26"/>
      <c r="BE27" s="26"/>
      <c r="BF27" s="26"/>
      <c r="BG27" s="26"/>
      <c r="BH27" s="26"/>
      <c r="BI27" s="26"/>
      <c r="BJ27" s="26"/>
      <c r="BK27" s="26"/>
      <c r="BL27" s="26"/>
      <c r="BM27" s="26"/>
      <c r="BN27" s="26"/>
      <c r="BO27" s="26"/>
      <c r="BP27" s="26"/>
      <c r="BQ27" s="26"/>
      <c r="BR27" s="26"/>
      <c r="BS27" s="26"/>
      <c r="BT27" s="26"/>
    </row>
    <row r="28" spans="1:72" s="3" customFormat="1" ht="225" customHeight="1" x14ac:dyDescent="0.25">
      <c r="A28" s="527"/>
      <c r="B28" s="527"/>
      <c r="C28" s="527"/>
      <c r="D28" s="520"/>
      <c r="E28" s="522"/>
      <c r="F28" s="427"/>
      <c r="G28" s="427"/>
      <c r="H28" s="427"/>
      <c r="I28" s="427"/>
      <c r="J28" s="427"/>
      <c r="K28" s="424"/>
      <c r="L28" s="429"/>
      <c r="M28" s="431"/>
      <c r="N28" s="473"/>
      <c r="O28" s="431"/>
      <c r="P28" s="429"/>
      <c r="Q28" s="431"/>
      <c r="R28" s="486"/>
      <c r="S28" s="125">
        <v>2</v>
      </c>
      <c r="T28" s="259" t="s">
        <v>246</v>
      </c>
      <c r="U28" s="260" t="s">
        <v>49</v>
      </c>
      <c r="V28" s="261" t="s">
        <v>211</v>
      </c>
      <c r="W28" s="261" t="s">
        <v>156</v>
      </c>
      <c r="X28" s="262" t="str">
        <f t="shared" si="24"/>
        <v>25%</v>
      </c>
      <c r="Y28" s="261" t="s">
        <v>157</v>
      </c>
      <c r="Z28" s="261" t="s">
        <v>158</v>
      </c>
      <c r="AA28" s="261" t="s">
        <v>159</v>
      </c>
      <c r="AB28" s="263">
        <f>IFERROR(IF(U28="Probabilidad",(AB27-(+AB27*X28)),IF(U28="Impacto",AB27,"")),"")</f>
        <v>0.36</v>
      </c>
      <c r="AC28" s="269" t="str">
        <f t="shared" si="25"/>
        <v>Baja</v>
      </c>
      <c r="AD28" s="124">
        <f t="shared" si="26"/>
        <v>0.36</v>
      </c>
      <c r="AE28" s="269" t="str">
        <f t="shared" si="27"/>
        <v>Moderado</v>
      </c>
      <c r="AF28" s="264">
        <f>IFERROR(IF(U28="Impacto",(Q27-(+Q27*X28)),IF(U28="Probabilidad",Q27,"")),"")</f>
        <v>0.60000000000000009</v>
      </c>
      <c r="AG28" s="265" t="str">
        <f t="shared" si="28"/>
        <v>Moderado</v>
      </c>
      <c r="AH28" s="266" t="s">
        <v>160</v>
      </c>
      <c r="AI28" s="427"/>
      <c r="AJ28" s="187" t="s">
        <v>243</v>
      </c>
      <c r="AK28" s="188" t="s">
        <v>244</v>
      </c>
      <c r="AL28" s="189" t="s">
        <v>207</v>
      </c>
      <c r="AM28" s="270" t="s">
        <v>247</v>
      </c>
      <c r="AN28" s="277" t="s">
        <v>165</v>
      </c>
      <c r="AO28" s="489"/>
      <c r="AP28" s="425"/>
      <c r="AQ28" s="425"/>
      <c r="AR28" s="277"/>
      <c r="AS28" s="277"/>
      <c r="AT28" s="277" t="s">
        <v>166</v>
      </c>
      <c r="AU28" s="277" t="s">
        <v>166</v>
      </c>
      <c r="AV28" s="277"/>
      <c r="AW28" s="26"/>
      <c r="AX28" s="26"/>
      <c r="AY28" s="26"/>
      <c r="AZ28" s="26"/>
      <c r="BA28" s="26"/>
      <c r="BB28" s="26"/>
      <c r="BC28" s="26"/>
      <c r="BD28" s="26"/>
      <c r="BE28" s="26"/>
      <c r="BF28" s="26"/>
      <c r="BG28" s="26"/>
      <c r="BH28" s="26"/>
      <c r="BI28" s="26"/>
      <c r="BJ28" s="26"/>
      <c r="BK28" s="26"/>
      <c r="BL28" s="26"/>
      <c r="BM28" s="26"/>
      <c r="BN28" s="26"/>
      <c r="BO28" s="26"/>
      <c r="BP28" s="26"/>
      <c r="BQ28" s="26"/>
      <c r="BR28" s="26"/>
      <c r="BS28" s="26"/>
      <c r="BT28" s="26"/>
    </row>
    <row r="29" spans="1:72" s="3" customFormat="1" ht="165" x14ac:dyDescent="0.25">
      <c r="A29" s="531" t="s">
        <v>3</v>
      </c>
      <c r="B29" s="527" t="s">
        <v>248</v>
      </c>
      <c r="C29" s="527" t="s">
        <v>249</v>
      </c>
      <c r="D29" s="520" t="s">
        <v>12</v>
      </c>
      <c r="E29" s="291">
        <v>1</v>
      </c>
      <c r="F29" s="294" t="s">
        <v>250</v>
      </c>
      <c r="G29" s="294" t="s">
        <v>251</v>
      </c>
      <c r="H29" s="294" t="s">
        <v>252</v>
      </c>
      <c r="I29" s="294" t="s">
        <v>253</v>
      </c>
      <c r="J29" s="276" t="s">
        <v>188</v>
      </c>
      <c r="K29" s="292">
        <v>126</v>
      </c>
      <c r="L29" s="287" t="str">
        <f>IF(K29&lt;=0,"",IF(K29&lt;=2,"Muy Baja",IF(K29&lt;=24,"Baja",IF(K29&lt;=500,"Media",IF(K29&lt;=5000,"Alta","Muy Alta")))))</f>
        <v>Media</v>
      </c>
      <c r="M29" s="284">
        <f>IF(L29="","",IF(L29="Muy Baja",0.2,IF(L29="Baja",0.4,IF(L29="Media",0.6,IF(L29="Alta",0.8,IF(L29="Muy Alta",1,))))))</f>
        <v>0.6</v>
      </c>
      <c r="N29" s="304" t="str">
        <f>'Tabla Impacto'!D7</f>
        <v>El riesgo afecta la imagen de de la entidad con efecto publicitario sostenido a nivel de sector administrativo, nivel departamental o municipal</v>
      </c>
      <c r="O29" s="284" t="str">
        <f ca="1">IF(NOT(ISERROR(MATCH(N29,_xlfn.ANCHORARRAY(I29),0))),M29&amp;"Por favor no seleccionar los criterios de impacto",N29)</f>
        <v>El riesgo afecta la imagen de de la entidad con efecto publicitario sostenido a nivel de sector administrativo, nivel departamental o municipal</v>
      </c>
      <c r="P29" s="287" t="str">
        <f ca="1">IF(OR(O29='Tabla Impacto'!$C$4,O29='Tabla Impacto'!$D$4),"Leve",IF(OR(O29='Tabla Impacto'!$C$5,O29='Tabla Impacto'!$D$5),"Menor",IF(OR(O29='Tabla Impacto'!$C$6,O29='Tabla Impacto'!$D$6),"Moderado",IF(OR(O29='Tabla Impacto'!$C$7,O29='Tabla Impacto'!$D$7),"Mayor",IF(OR(O29='Tabla Impacto'!$C$8,O29='Tabla Impacto'!$D$8),"Catastrófico","")))))</f>
        <v>Mayor</v>
      </c>
      <c r="Q29" s="284">
        <f ca="1">IF(P29="","",IF(P29="Leve",0.2,IF(P29="Menor",0.4,IF(P29="Moderado",0.6,IF(P29="Mayor",0.8,IF(P29="Catastrófico",1,))))))</f>
        <v>0.8</v>
      </c>
      <c r="R29" s="289" t="str">
        <f ca="1">IF(OR(AND(L29="Muy Baja",P29="Leve"),AND(L29="Muy Baja",P29="Menor"),AND(L29="Baja",P29="Leve")),"Bajo",IF(OR(AND(L29="Muy baja",P29="Moderado"),AND(L29="Baja",P29="Menor"),AND(L29="Baja",P29="Moderado"),AND(L29="Media",P29="Leve"),AND(L29="Media",P29="Menor"),AND(L29="Media",P29="Moderado"),AND(L29="Alta",P29="Leve"),AND(L29="Alta",P29="Menor")),"Moderado",IF(OR(AND(L29="Muy Baja",P29="Mayor"),AND(L29="Baja",P29="Mayor"),AND(L29="Media",P29="Mayor"),AND(L29="Alta",P29="Moderado"),AND(L29="Alta",P29="Mayor"),AND(L29="Muy Alta",P29="Leve"),AND(L29="Muy Alta",P29="Menor"),AND(L29="Muy Alta",P29="Moderado"),AND(L29="Muy Alta",P29="Mayor")),"Alto",IF(OR(AND(L29="Muy Baja",P29="Catastrófico"),AND(L29="Baja",P29="Catastrófico"),AND(L29="Media",P29="Catastrófico"),AND(L29="Alta",P29="Catastrófico"),AND(L29="Muy Alta",P29="Catastrófico")),"Extremo",""))))</f>
        <v>Alto</v>
      </c>
      <c r="S29" s="125">
        <v>1</v>
      </c>
      <c r="T29" s="259" t="s">
        <v>254</v>
      </c>
      <c r="U29" s="260" t="s">
        <v>154</v>
      </c>
      <c r="V29" s="261" t="s">
        <v>155</v>
      </c>
      <c r="W29" s="261" t="s">
        <v>156</v>
      </c>
      <c r="X29" s="262" t="str">
        <f t="shared" si="24"/>
        <v>40%</v>
      </c>
      <c r="Y29" s="261" t="s">
        <v>157</v>
      </c>
      <c r="Z29" s="261" t="s">
        <v>158</v>
      </c>
      <c r="AA29" s="261" t="s">
        <v>159</v>
      </c>
      <c r="AB29" s="263">
        <f>IFERROR(IF(U29="Probabilidad",(M29-(+M29*X29)),IF(U29="Impacto",M29,"")),"")</f>
        <v>0.36</v>
      </c>
      <c r="AC29" s="269" t="str">
        <f t="shared" si="25"/>
        <v>Baja</v>
      </c>
      <c r="AD29" s="264">
        <f t="shared" si="26"/>
        <v>0.36</v>
      </c>
      <c r="AE29" s="269" t="str">
        <f t="shared" ca="1" si="27"/>
        <v>Mayor</v>
      </c>
      <c r="AF29" s="264">
        <f ca="1">IFERROR(IF(U29="Impacto",(Q29-(+Q29*X29)),IF(U29="Probabilidad",Q29,"")),"")</f>
        <v>0.8</v>
      </c>
      <c r="AG29" s="265" t="str">
        <f t="shared" ca="1" si="28"/>
        <v>Alto</v>
      </c>
      <c r="AH29" s="266" t="s">
        <v>160</v>
      </c>
      <c r="AI29" s="275"/>
      <c r="AJ29" s="187" t="s">
        <v>167</v>
      </c>
      <c r="AK29" s="188" t="s">
        <v>255</v>
      </c>
      <c r="AL29" s="189" t="s">
        <v>220</v>
      </c>
      <c r="AM29" s="131"/>
      <c r="AN29" s="277" t="s">
        <v>165</v>
      </c>
      <c r="AO29" s="277"/>
      <c r="AP29" s="277"/>
      <c r="AQ29" s="277"/>
      <c r="AR29" s="277"/>
      <c r="AS29" s="277"/>
      <c r="AT29" s="277" t="s">
        <v>208</v>
      </c>
      <c r="AU29" s="277" t="s">
        <v>208</v>
      </c>
      <c r="AV29" s="277"/>
      <c r="AW29" s="26"/>
      <c r="AX29" s="26"/>
      <c r="AY29" s="26"/>
      <c r="AZ29" s="26"/>
      <c r="BA29" s="26"/>
      <c r="BB29" s="26"/>
      <c r="BC29" s="26"/>
      <c r="BD29" s="26"/>
      <c r="BE29" s="26"/>
      <c r="BF29" s="26"/>
      <c r="BG29" s="26"/>
      <c r="BH29" s="26"/>
      <c r="BI29" s="26"/>
      <c r="BJ29" s="26"/>
      <c r="BK29" s="26"/>
      <c r="BL29" s="26"/>
      <c r="BM29" s="26"/>
      <c r="BN29" s="26"/>
      <c r="BO29" s="26"/>
      <c r="BP29" s="26"/>
      <c r="BQ29" s="26" t="s">
        <v>167</v>
      </c>
      <c r="BR29" s="26"/>
      <c r="BS29" s="26"/>
      <c r="BT29" s="26"/>
    </row>
    <row r="30" spans="1:72" ht="135" customHeight="1" x14ac:dyDescent="0.3">
      <c r="A30" s="531"/>
      <c r="B30" s="533"/>
      <c r="C30" s="521"/>
      <c r="D30" s="521"/>
      <c r="E30" s="291">
        <v>2</v>
      </c>
      <c r="F30" s="159" t="s">
        <v>172</v>
      </c>
      <c r="G30" s="160" t="s">
        <v>256</v>
      </c>
      <c r="H30" s="161" t="s">
        <v>257</v>
      </c>
      <c r="I30" s="294" t="s">
        <v>258</v>
      </c>
      <c r="J30" s="276" t="s">
        <v>151</v>
      </c>
      <c r="K30" s="292">
        <v>17</v>
      </c>
      <c r="L30" s="287" t="str">
        <f t="shared" ref="L30" si="29">IF(K30&lt;=0,"",IF(K30&lt;=2,"Muy Baja",IF(K30&lt;=24,"Baja",IF(K30&lt;=500,"Media",IF(K30&lt;=5000,"Alta","Muy Alta")))))</f>
        <v>Baja</v>
      </c>
      <c r="M30" s="284">
        <f>IF(L30="","",IF(L30="Muy Baja",0.2,IF(L30="Baja",0.4,IF(L30="Media",0.6,IF(L30="Alta",0.8,IF(L30="Muy Alta",1,))))))</f>
        <v>0.4</v>
      </c>
      <c r="N30" s="304" t="s">
        <v>152</v>
      </c>
      <c r="O30" s="284" t="str">
        <f ca="1">IF(NOT(ISERROR(MATCH(N30,_xlfn.ANCHORARRAY(I37),0))),M39&amp;"Por favor no seleccionar los criterios de impacto",N30)</f>
        <v xml:space="preserve">     El riesgo afecta la imagen de la entidad con algunos usuarios de relevancia frente al logro de los objetivos</v>
      </c>
      <c r="P30" s="287" t="str">
        <f ca="1">IF(OR(O30='[1]Tabla Impacto'!$C$11,O30='[1]Tabla Impacto'!$D$11),"Leve",IF(OR(O30='[1]Tabla Impacto'!$C$12,O30='[1]Tabla Impacto'!$D$12),"Menor",IF(OR(O30='[1]Tabla Impacto'!$C$13,O30='[1]Tabla Impacto'!$D$13),"Moderado",IF(OR(O30='[1]Tabla Impacto'!$C$14,O30='[1]Tabla Impacto'!$D$14),"Mayor",IF(OR(O30='[1]Tabla Impacto'!$C$15,O30='[1]Tabla Impacto'!$D$15),"Catastrófico","")))))</f>
        <v>Moderado</v>
      </c>
      <c r="Q30" s="284">
        <f ca="1">IF(P30="","",IF(P30="Leve",0.2,IF(P30="Menor",0.4,IF(P30="Moderado",0.6,IF(P30="Mayor",0.8,IF(P30="Catastrófico",1,))))))</f>
        <v>0.6</v>
      </c>
      <c r="R30" s="289" t="str">
        <f ca="1">IF(OR(AND(L30="Muy Baja",P30="Leve"),AND(L30="Muy Baja",P30="Menor"),AND(L30="Baja",P30="Leve")),"Bajo",IF(OR(AND(L30="Muy baja",P30="Moderado"),AND(L30="Baja",P30="Menor"),AND(L30="Baja",P30="Moderado"),AND(L30="Media",P30="Leve"),AND(L30="Media",P30="Menor"),AND(L30="Media",P30="Moderado"),AND(L30="Alta",P30="Leve"),AND(L30="Alta",P30="Menor")),"Moderado",IF(OR(AND(L30="Muy Baja",P30="Mayor"),AND(L30="Baja",P30="Mayor"),AND(L30="Media",P30="Mayor"),AND(L30="Alta",P30="Moderado"),AND(L30="Alta",P30="Mayor"),AND(L30="Muy Alta",P30="Leve"),AND(L30="Muy Alta",P30="Menor"),AND(L30="Muy Alta",P30="Moderado"),AND(L30="Muy Alta",P30="Mayor")),"Alto",IF(OR(AND(L30="Muy Baja",P30="Catastrófico"),AND(L30="Baja",P30="Catastrófico"),AND(L30="Media",P30="Catastrófico"),AND(L30="Alta",P30="Catastrófico"),AND(L30="Muy Alta",P30="Catastrófico")),"Extremo",""))))</f>
        <v>Moderado</v>
      </c>
      <c r="S30" s="125"/>
      <c r="T30" s="259" t="s">
        <v>259</v>
      </c>
      <c r="U30" s="260" t="s">
        <v>154</v>
      </c>
      <c r="V30" s="261" t="s">
        <v>169</v>
      </c>
      <c r="W30" s="261" t="s">
        <v>156</v>
      </c>
      <c r="X30" s="262" t="str">
        <f t="shared" si="24"/>
        <v>30%</v>
      </c>
      <c r="Y30" s="261" t="s">
        <v>157</v>
      </c>
      <c r="Z30" s="261" t="s">
        <v>158</v>
      </c>
      <c r="AA30" s="261" t="s">
        <v>159</v>
      </c>
      <c r="AB30" s="263">
        <f t="shared" ref="AB30" si="30">IFERROR(IF(U30="Probabilidad",(M30-(+M30*X30)),IF(U30="Impacto",M30,"")),"")</f>
        <v>0.28000000000000003</v>
      </c>
      <c r="AC30" s="269" t="str">
        <f t="shared" si="25"/>
        <v>Baja</v>
      </c>
      <c r="AD30" s="264">
        <f t="shared" si="26"/>
        <v>0.28000000000000003</v>
      </c>
      <c r="AE30" s="269" t="str">
        <f t="shared" ca="1" si="27"/>
        <v>Moderado</v>
      </c>
      <c r="AF30" s="264">
        <f t="shared" ref="AF30" ca="1" si="31">IFERROR(IF(U30="Impacto",(Q30-(+Q30*X30)),IF(U30="Probabilidad",Q30,"")),"")</f>
        <v>0.6</v>
      </c>
      <c r="AG30" s="265" t="str">
        <f t="shared" ca="1" si="28"/>
        <v>Moderado</v>
      </c>
      <c r="AH30" s="266" t="s">
        <v>160</v>
      </c>
      <c r="AI30" s="275" t="s">
        <v>260</v>
      </c>
      <c r="AJ30" s="187" t="s">
        <v>167</v>
      </c>
      <c r="AK30" s="188" t="s">
        <v>255</v>
      </c>
      <c r="AL30" s="189" t="s">
        <v>220</v>
      </c>
      <c r="AM30" s="131"/>
      <c r="AN30" s="277" t="s">
        <v>165</v>
      </c>
      <c r="AO30" s="277"/>
      <c r="AP30" s="277"/>
      <c r="AQ30" s="277"/>
      <c r="AR30" s="277" t="s">
        <v>208</v>
      </c>
      <c r="AS30" s="277"/>
      <c r="AT30" s="277" t="s">
        <v>208</v>
      </c>
      <c r="AU30" s="277" t="s">
        <v>208</v>
      </c>
      <c r="AV30" s="277"/>
      <c r="AW30" s="7"/>
      <c r="AX30" s="7"/>
      <c r="AY30" s="7"/>
      <c r="AZ30" s="7"/>
      <c r="BA30" s="7"/>
      <c r="BB30" s="7"/>
      <c r="BC30" s="7"/>
      <c r="BD30" s="7"/>
      <c r="BE30" s="7"/>
      <c r="BF30" s="7"/>
      <c r="BG30" s="7"/>
      <c r="BH30" s="7"/>
      <c r="BI30" s="7"/>
      <c r="BJ30" s="7"/>
      <c r="BK30" s="7"/>
      <c r="BL30" s="7"/>
      <c r="BM30" s="7"/>
      <c r="BN30" s="7"/>
      <c r="BO30" s="7"/>
      <c r="BP30" s="7"/>
      <c r="BQ30" s="7" t="s">
        <v>14</v>
      </c>
      <c r="BR30" s="7"/>
      <c r="BS30" s="7"/>
      <c r="BT30" s="7"/>
    </row>
    <row r="31" spans="1:72" s="3" customFormat="1" ht="84.75" customHeight="1" x14ac:dyDescent="0.25">
      <c r="A31" s="531" t="s">
        <v>5</v>
      </c>
      <c r="B31" s="527" t="s">
        <v>261</v>
      </c>
      <c r="C31" s="520" t="s">
        <v>262</v>
      </c>
      <c r="D31" s="520" t="s">
        <v>16</v>
      </c>
      <c r="E31" s="491">
        <v>1</v>
      </c>
      <c r="F31" s="426" t="s">
        <v>199</v>
      </c>
      <c r="G31" s="426" t="s">
        <v>200</v>
      </c>
      <c r="H31" s="426" t="s">
        <v>263</v>
      </c>
      <c r="I31" s="426" t="s">
        <v>264</v>
      </c>
      <c r="J31" s="426" t="s">
        <v>188</v>
      </c>
      <c r="K31" s="424">
        <v>1</v>
      </c>
      <c r="L31" s="428" t="str">
        <f>IF(K31&lt;=0,"",IF(K31&lt;=2,"Muy Baja",IF(K31&lt;=24,"Baja",IF(K31&lt;=500,"Media",IF(K31&lt;=5000,"Alta","Muy Alta")))))</f>
        <v>Muy Baja</v>
      </c>
      <c r="M31" s="430">
        <f>IF(L31="","",IF(L31="Muy Baja",0.2,IF(L31="Baja",0.4,IF(L31="Media",0.6,IF(L31="Alta",0.8,IF(L31="Muy Alta",1,))))))</f>
        <v>0.2</v>
      </c>
      <c r="N31" s="473" t="s">
        <v>152</v>
      </c>
      <c r="O31" s="430" t="str">
        <f>IF(NOT(ISERROR(MATCH(N31,'[4]Tabla Impacto'!$B$221:$B$223,0))),'[4]Tabla Impacto'!$F$223&amp;"Por favor no seleccionar los criterios de impacto(Afectación Económica o presupuestal y Pérdida Reputacional)",N31)</f>
        <v xml:space="preserve">     El riesgo afecta la imagen de la entidad con algunos usuarios de relevancia frente al logro de los objetivos</v>
      </c>
      <c r="P31" s="428" t="str">
        <f>IF(OR(O31='[4]Tabla Impacto'!$C$11,O31='[4]Tabla Impacto'!$D$11),"Leve",IF(OR(O31='[4]Tabla Impacto'!$C$12,O31='[4]Tabla Impacto'!$D$12),"Menor",IF(OR(O31='[4]Tabla Impacto'!$C$13,O31='[4]Tabla Impacto'!$D$13),"Moderado",IF(OR(O31='[4]Tabla Impacto'!$C$14,O31='[4]Tabla Impacto'!$D$14),"Mayor",IF(OR(O31='[4]Tabla Impacto'!$C$15,O31='[4]Tabla Impacto'!$D$15),"Catastrófico","")))))</f>
        <v>Moderado</v>
      </c>
      <c r="Q31" s="430">
        <f>IF(P31="","",IF(P31="Leve",0.2,IF(P31="Menor",0.4,IF(P31="Moderado",0.6,IF(P31="Mayor",0.8,IF(P31="Catastrófico",1,))))))</f>
        <v>0.6</v>
      </c>
      <c r="R31" s="484" t="str">
        <f>IF(OR(AND(L31="Muy Baja",P31="Leve"),AND(L31="Muy Baja",P31="Menor"),AND(L31="Baja",P31="Leve")),"Bajo",IF(OR(AND(L31="Muy baja",P31="Moderado"),AND(L31="Baja",P31="Menor"),AND(L31="Baja",P31="Moderado"),AND(L31="Media",P31="Leve"),AND(L31="Media",P31="Menor"),AND(L31="Media",P31="Moderado"),AND(L31="Alta",P31="Leve"),AND(L31="Alta",P31="Menor")),"Moderado",IF(OR(AND(L31="Muy Baja",P31="Mayor"),AND(L31="Baja",P31="Mayor"),AND(L31="Media",P31="Mayor"),AND(L31="Alta",P31="Moderado"),AND(L31="Alta",P31="Mayor"),AND(L31="Muy Alta",P31="Leve"),AND(L31="Muy Alta",P31="Menor"),AND(L31="Muy Alta",P31="Moderado"),AND(L31="Muy Alta",P31="Mayor")),"Alto",IF(OR(AND(L31="Muy Baja",P31="Catastrófico"),AND(L31="Baja",P31="Catastrófico"),AND(L31="Media",P31="Catastrófico"),AND(L31="Alta",P31="Catastrófico"),AND(L31="Muy Alta",P31="Catastrófico")),"Extremo",""))))</f>
        <v>Moderado</v>
      </c>
      <c r="S31" s="125">
        <v>1</v>
      </c>
      <c r="T31" s="259" t="s">
        <v>265</v>
      </c>
      <c r="U31" s="260" t="str">
        <f>IF(OR(V31="Preventivo",V31="Detectivo"),"Probabilidad",IF(V31="Correctivo","Impacto",""))</f>
        <v>Probabilidad</v>
      </c>
      <c r="V31" s="261" t="s">
        <v>155</v>
      </c>
      <c r="W31" s="261" t="s">
        <v>156</v>
      </c>
      <c r="X31" s="262" t="str">
        <f t="shared" ref="X31:X54" si="32">IF(AND(V31="Preventivo",W31="Automático"),"50%",IF(AND(V31="Preventivo",W31="Manual"),"40%",IF(AND(V31="Detectivo",W31="Automático"),"40%",IF(AND(V31="Detectivo",W31="Manual"),"30%",IF(AND(V31="Correctivo",W31="Automático"),"35%",IF(AND(V31="Correctivo",W31="Manual"),"25%",""))))))</f>
        <v>40%</v>
      </c>
      <c r="Y31" s="261" t="s">
        <v>157</v>
      </c>
      <c r="Z31" s="261" t="s">
        <v>158</v>
      </c>
      <c r="AA31" s="261" t="s">
        <v>159</v>
      </c>
      <c r="AB31" s="263">
        <f>IFERROR(IF(U31="Probabilidad",(M31-(+M31*X31)),IF(U31="Impacto",M31,"")),"")</f>
        <v>0.12</v>
      </c>
      <c r="AC31" s="269" t="str">
        <f t="shared" ref="AC31:AC54" si="33">IFERROR(IF(AB31="","",IF(AB31&lt;=0.2,"Muy Baja",IF(AB31&lt;=0.4,"Baja",IF(AB31&lt;=0.6,"Media",IF(AB31&lt;=0.8,"Alta","Muy Alta"))))),"")</f>
        <v>Muy Baja</v>
      </c>
      <c r="AD31" s="264">
        <f t="shared" ref="AD31:AD54" si="34">+AB31</f>
        <v>0.12</v>
      </c>
      <c r="AE31" s="269" t="str">
        <f t="shared" ref="AE31:AE54" si="35">IFERROR(IF(AF31="","",IF(AF31&lt;=0.2,"Leve",IF(AF31&lt;=0.4,"Menor",IF(AF31&lt;=0.6,"Moderado",IF(AF31&lt;=0.8,"Mayor","Catastrófico"))))),"")</f>
        <v>Moderado</v>
      </c>
      <c r="AF31" s="264">
        <f>IFERROR(IF(U31="Impacto",(Q31-(+Q31*X31)),IF(U31="Probabilidad",Q31,"")),"")</f>
        <v>0.6</v>
      </c>
      <c r="AG31" s="265" t="str">
        <f t="shared" ref="AG31:AG54" si="36">IFERROR(IF(OR(AND(AC31="Muy Baja",AE31="Leve"),AND(AC31="Muy Baja",AE31="Menor"),AND(AC31="Baja",AE31="Leve")),"Bajo",IF(OR(AND(AC31="Muy baja",AE31="Moderado"),AND(AC31="Baja",AE31="Menor"),AND(AC31="Baja",AE31="Moderado"),AND(AC31="Media",AE31="Leve"),AND(AC31="Media",AE31="Menor"),AND(AC31="Media",AE31="Moderado"),AND(AC31="Alta",AE31="Leve"),AND(AC31="Alta",AE31="Menor")),"Moderado",IF(OR(AND(AC31="Muy Baja",AE31="Mayor"),AND(AC31="Baja",AE31="Mayor"),AND(AC31="Media",AE31="Mayor"),AND(AC31="Alta",AE31="Moderado"),AND(AC31="Alta",AE31="Mayor"),AND(AC31="Muy Alta",AE31="Leve"),AND(AC31="Muy Alta",AE31="Menor"),AND(AC31="Muy Alta",AE31="Moderado"),AND(AC31="Muy Alta",AE31="Mayor")),"Alto",IF(OR(AND(AC31="Muy Baja",AE31="Catastrófico"),AND(AC31="Baja",AE31="Catastrófico"),AND(AC31="Media",AE31="Catastrófico"),AND(AC31="Alta",AE31="Catastrófico"),AND(AC31="Muy Alta",AE31="Catastrófico")),"Extremo","")))),"")</f>
        <v>Moderado</v>
      </c>
      <c r="AH31" s="266" t="s">
        <v>160</v>
      </c>
      <c r="AI31" s="466" t="s">
        <v>266</v>
      </c>
      <c r="AJ31" s="187" t="s">
        <v>267</v>
      </c>
      <c r="AK31" s="188" t="s">
        <v>244</v>
      </c>
      <c r="AL31" s="143">
        <v>44562</v>
      </c>
      <c r="AM31" s="131"/>
      <c r="AN31" s="277"/>
      <c r="AO31" s="468"/>
      <c r="AP31" s="468"/>
      <c r="AQ31" s="468"/>
      <c r="AR31" s="277"/>
      <c r="AS31" s="277"/>
      <c r="AT31" s="277" t="s">
        <v>208</v>
      </c>
      <c r="AU31" s="277" t="s">
        <v>208</v>
      </c>
      <c r="AV31" s="277"/>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row>
    <row r="32" spans="1:72" s="3" customFormat="1" ht="165" customHeight="1" x14ac:dyDescent="0.25">
      <c r="A32" s="531"/>
      <c r="B32" s="533"/>
      <c r="C32" s="521"/>
      <c r="D32" s="521"/>
      <c r="E32" s="522"/>
      <c r="F32" s="427"/>
      <c r="G32" s="427"/>
      <c r="H32" s="427"/>
      <c r="I32" s="427"/>
      <c r="J32" s="427"/>
      <c r="K32" s="424"/>
      <c r="L32" s="429"/>
      <c r="M32" s="431"/>
      <c r="N32" s="473"/>
      <c r="O32" s="481"/>
      <c r="P32" s="429"/>
      <c r="Q32" s="431"/>
      <c r="R32" s="486"/>
      <c r="S32" s="125">
        <v>2</v>
      </c>
      <c r="T32" s="259" t="s">
        <v>268</v>
      </c>
      <c r="U32" s="260" t="str">
        <f>IF(OR(V32="Preventivo",V32="Detectivo"),"Probabilidad",IF(V32="Correctivo","Impacto",""))</f>
        <v>Probabilidad</v>
      </c>
      <c r="V32" s="261" t="s">
        <v>155</v>
      </c>
      <c r="W32" s="261" t="s">
        <v>156</v>
      </c>
      <c r="X32" s="262" t="str">
        <f t="shared" si="32"/>
        <v>40%</v>
      </c>
      <c r="Y32" s="261" t="s">
        <v>157</v>
      </c>
      <c r="Z32" s="261" t="s">
        <v>158</v>
      </c>
      <c r="AA32" s="261" t="s">
        <v>159</v>
      </c>
      <c r="AB32" s="263">
        <f>IFERROR(IF(U32="Probabilidad",(AB31-(+AB31*X32)),IF(U32="Impacto",M31,"")),"")</f>
        <v>7.1999999999999995E-2</v>
      </c>
      <c r="AC32" s="269" t="str">
        <f t="shared" si="33"/>
        <v>Muy Baja</v>
      </c>
      <c r="AD32" s="124">
        <f t="shared" si="34"/>
        <v>7.1999999999999995E-2</v>
      </c>
      <c r="AE32" s="269" t="str">
        <f t="shared" si="35"/>
        <v>Moderado</v>
      </c>
      <c r="AF32" s="264">
        <f>IFERROR(IF(U32="Impacto",(Q31-(+Q31*X32)),IF(U32="Probabilidad",Q31,"")),"")</f>
        <v>0.6</v>
      </c>
      <c r="AG32" s="265" t="str">
        <f t="shared" si="36"/>
        <v>Moderado</v>
      </c>
      <c r="AH32" s="266" t="s">
        <v>160</v>
      </c>
      <c r="AI32" s="427"/>
      <c r="AJ32" s="187" t="s">
        <v>267</v>
      </c>
      <c r="AK32" s="188" t="s">
        <v>244</v>
      </c>
      <c r="AL32" s="143">
        <v>44562</v>
      </c>
      <c r="AM32" s="260"/>
      <c r="AN32" s="277"/>
      <c r="AO32" s="425"/>
      <c r="AP32" s="425"/>
      <c r="AQ32" s="425"/>
      <c r="AR32" s="277"/>
      <c r="AS32" s="277"/>
      <c r="AT32" s="277"/>
      <c r="AU32" s="277" t="s">
        <v>208</v>
      </c>
      <c r="AV32" s="277"/>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row>
    <row r="33" spans="1:72" ht="165" customHeight="1" x14ac:dyDescent="0.3">
      <c r="A33" s="531"/>
      <c r="B33" s="533"/>
      <c r="C33" s="521"/>
      <c r="D33" s="521"/>
      <c r="E33" s="490">
        <v>2</v>
      </c>
      <c r="F33" s="466" t="s">
        <v>199</v>
      </c>
      <c r="G33" s="466" t="s">
        <v>200</v>
      </c>
      <c r="H33" s="466" t="s">
        <v>269</v>
      </c>
      <c r="I33" s="466" t="s">
        <v>270</v>
      </c>
      <c r="J33" s="426" t="s">
        <v>188</v>
      </c>
      <c r="K33" s="468">
        <v>216</v>
      </c>
      <c r="L33" s="428" t="str">
        <f t="shared" ref="L33" si="37">IF(K33&lt;=0,"",IF(K33&lt;=2,"Muy Baja",IF(K33&lt;=24,"Baja",IF(K33&lt;=500,"Media",IF(K33&lt;=5000,"Alta","Muy Alta")))))</f>
        <v>Media</v>
      </c>
      <c r="M33" s="430">
        <f>IF(L33="","",IF(L33="Muy Baja",0.2,IF(L33="Baja",0.4,IF(L33="Media",0.6,IF(L33="Alta",0.8,IF(L33="Muy Alta",1,))))))</f>
        <v>0.6</v>
      </c>
      <c r="N33" s="473" t="str">
        <f>'Tabla Impacto'!D7</f>
        <v>El riesgo afecta la imagen de de la entidad con efecto publicitario sostenido a nivel de sector administrativo, nivel departamental o municipal</v>
      </c>
      <c r="O33" s="481" t="str">
        <f ca="1">IF(NOT(ISERROR(MATCH(N33,_xlfn.ANCHORARRAY(I47),0))),M49&amp;"Por favor no seleccionar los criterios de impacto",N33)</f>
        <v>El riesgo afecta la imagen de de la entidad con efecto publicitario sostenido a nivel de sector administrativo, nivel departamental o municipal</v>
      </c>
      <c r="P33" s="428" t="str">
        <f ca="1">IF(OR(O33='Tabla Impacto'!$C$4,O33='Tabla Impacto'!$D$4),"Leve",IF(OR(O33='Tabla Impacto'!$C$5,O33='Tabla Impacto'!$D$5),"Menor",IF(OR(O33='Tabla Impacto'!$C$6,O33='Tabla Impacto'!$D$6),"Moderado",IF(OR(O33='Tabla Impacto'!$C$7,O33='Tabla Impacto'!$D$7),"Mayor",IF(OR(O33='Tabla Impacto'!$C$8,O33='Tabla Impacto'!$D$8),"Catastrófico","")))))</f>
        <v>Mayor</v>
      </c>
      <c r="Q33" s="430">
        <f ca="1">IF(P33="","",IF(P33="Leve",0.2,IF(P33="Menor",0.4,IF(P33="Moderado",0.6,IF(P33="Mayor",0.8,IF(P33="Catastrófico",1,))))))</f>
        <v>0.8</v>
      </c>
      <c r="R33" s="484" t="str">
        <f ca="1">IF(OR(AND(L33="Muy Baja",P33="Leve"),AND(L33="Muy Baja",P33="Menor"),AND(L33="Baja",P33="Leve")),"Bajo",IF(OR(AND(L33="Muy baja",P33="Moderado"),AND(L33="Baja",P33="Menor"),AND(L33="Baja",P33="Moderado"),AND(L33="Media",P33="Leve"),AND(L33="Media",P33="Menor"),AND(L33="Media",P33="Moderado"),AND(L33="Alta",P33="Leve"),AND(L33="Alta",P33="Menor")),"Moderado",IF(OR(AND(L33="Muy Baja",P33="Mayor"),AND(L33="Baja",P33="Mayor"),AND(L33="Media",P33="Mayor"),AND(L33="Alta",P33="Moderado"),AND(L33="Alta",P33="Mayor"),AND(L33="Muy Alta",P33="Leve"),AND(L33="Muy Alta",P33="Menor"),AND(L33="Muy Alta",P33="Moderado"),AND(L33="Muy Alta",P33="Mayor")),"Alto",IF(OR(AND(L33="Muy Baja",P33="Catastrófico"),AND(L33="Baja",P33="Catastrófico"),AND(L33="Media",P33="Catastrófico"),AND(L33="Alta",P33="Catastrófico"),AND(L33="Muy Alta",P33="Catastrófico")),"Extremo",""))))</f>
        <v>Alto</v>
      </c>
      <c r="S33" s="125">
        <v>1</v>
      </c>
      <c r="T33" s="259" t="s">
        <v>271</v>
      </c>
      <c r="U33" s="260" t="s">
        <v>154</v>
      </c>
      <c r="V33" s="261" t="s">
        <v>155</v>
      </c>
      <c r="W33" s="261" t="s">
        <v>156</v>
      </c>
      <c r="X33" s="262" t="str">
        <f t="shared" si="32"/>
        <v>40%</v>
      </c>
      <c r="Y33" s="261" t="s">
        <v>157</v>
      </c>
      <c r="Z33" s="261" t="s">
        <v>158</v>
      </c>
      <c r="AA33" s="261" t="s">
        <v>159</v>
      </c>
      <c r="AB33" s="263">
        <f t="shared" ref="AB33" si="38">IFERROR(IF(U33="Probabilidad",(M33-(+M33*X33)),IF(U33="Impacto",M33,"")),"")</f>
        <v>0.36</v>
      </c>
      <c r="AC33" s="269" t="str">
        <f t="shared" si="33"/>
        <v>Baja</v>
      </c>
      <c r="AD33" s="264">
        <f t="shared" si="34"/>
        <v>0.36</v>
      </c>
      <c r="AE33" s="269" t="str">
        <f t="shared" ca="1" si="35"/>
        <v>Mayor</v>
      </c>
      <c r="AF33" s="264">
        <f t="shared" ref="AF33" ca="1" si="39">IFERROR(IF(U33="Impacto",(Q33-(+Q33*X33)),IF(U33="Probabilidad",Q33,"")),"")</f>
        <v>0.8</v>
      </c>
      <c r="AG33" s="265" t="str">
        <f t="shared" ca="1" si="36"/>
        <v>Alto</v>
      </c>
      <c r="AH33" s="266" t="s">
        <v>160</v>
      </c>
      <c r="AI33" s="466" t="s">
        <v>272</v>
      </c>
      <c r="AJ33" s="268" t="s">
        <v>267</v>
      </c>
      <c r="AK33" s="268" t="s">
        <v>206</v>
      </c>
      <c r="AL33" s="268" t="s">
        <v>273</v>
      </c>
      <c r="AM33" s="268"/>
      <c r="AN33" s="277" t="s">
        <v>165</v>
      </c>
      <c r="AO33" s="468"/>
      <c r="AP33" s="468"/>
      <c r="AQ33" s="468"/>
      <c r="AR33" s="277"/>
      <c r="AS33" s="277"/>
      <c r="AT33" s="277"/>
      <c r="AU33" s="277" t="s">
        <v>208</v>
      </c>
      <c r="AV33" s="277"/>
      <c r="AW33" s="7"/>
      <c r="AX33" s="7"/>
      <c r="AY33" s="7"/>
      <c r="AZ33" s="7"/>
      <c r="BA33" s="7"/>
      <c r="BB33" s="7"/>
      <c r="BC33" s="7"/>
      <c r="BD33" s="7"/>
      <c r="BE33" s="7"/>
      <c r="BF33" s="7"/>
      <c r="BG33" s="7"/>
      <c r="BH33" s="7"/>
      <c r="BI33" s="7"/>
      <c r="BJ33" s="7"/>
      <c r="BK33" s="7"/>
      <c r="BL33" s="7"/>
      <c r="BM33" s="7"/>
      <c r="BN33" s="7"/>
      <c r="BO33" s="7"/>
      <c r="BP33" s="7"/>
      <c r="BQ33" s="7"/>
      <c r="BR33" s="7"/>
      <c r="BS33" s="7"/>
      <c r="BT33" s="7"/>
    </row>
    <row r="34" spans="1:72" ht="108.75" customHeight="1" x14ac:dyDescent="0.3">
      <c r="A34" s="531"/>
      <c r="B34" s="533"/>
      <c r="C34" s="521"/>
      <c r="D34" s="521"/>
      <c r="E34" s="522"/>
      <c r="F34" s="427"/>
      <c r="G34" s="427"/>
      <c r="H34" s="427"/>
      <c r="I34" s="427"/>
      <c r="J34" s="427"/>
      <c r="K34" s="424"/>
      <c r="L34" s="429"/>
      <c r="M34" s="431"/>
      <c r="N34" s="473"/>
      <c r="O34" s="481"/>
      <c r="P34" s="429"/>
      <c r="Q34" s="431"/>
      <c r="R34" s="486"/>
      <c r="S34" s="125">
        <v>2</v>
      </c>
      <c r="T34" s="259" t="s">
        <v>274</v>
      </c>
      <c r="U34" s="260" t="s">
        <v>154</v>
      </c>
      <c r="V34" s="261" t="s">
        <v>169</v>
      </c>
      <c r="W34" s="261" t="s">
        <v>156</v>
      </c>
      <c r="X34" s="262" t="str">
        <f t="shared" si="32"/>
        <v>30%</v>
      </c>
      <c r="Y34" s="261" t="s">
        <v>157</v>
      </c>
      <c r="Z34" s="261" t="s">
        <v>158</v>
      </c>
      <c r="AA34" s="261" t="s">
        <v>159</v>
      </c>
      <c r="AB34" s="263">
        <f>IFERROR(IF(U34="Probabilidad",(AB33-(+AB33*X34)),IF(U34="Impacto",AB33,"")),"")</f>
        <v>0.252</v>
      </c>
      <c r="AC34" s="269" t="str">
        <f t="shared" si="33"/>
        <v>Baja</v>
      </c>
      <c r="AD34" s="264">
        <f t="shared" si="34"/>
        <v>0.252</v>
      </c>
      <c r="AE34" s="269" t="str">
        <f t="shared" ca="1" si="35"/>
        <v>Mayor</v>
      </c>
      <c r="AF34" s="264">
        <f ca="1">IFERROR(IF(U34="Impacto",(Q33-(+Q33*X34)),IF(U34="Probabilidad",Q33,"")),"")</f>
        <v>0.8</v>
      </c>
      <c r="AG34" s="265" t="str">
        <f t="shared" ca="1" si="36"/>
        <v>Alto</v>
      </c>
      <c r="AH34" s="266" t="s">
        <v>160</v>
      </c>
      <c r="AI34" s="427"/>
      <c r="AJ34" s="268" t="s">
        <v>267</v>
      </c>
      <c r="AK34" s="268" t="s">
        <v>206</v>
      </c>
      <c r="AL34" s="268" t="s">
        <v>212</v>
      </c>
      <c r="AM34" s="268"/>
      <c r="AN34" s="277" t="s">
        <v>165</v>
      </c>
      <c r="AO34" s="425"/>
      <c r="AP34" s="425"/>
      <c r="AQ34" s="425"/>
      <c r="AR34" s="277"/>
      <c r="AS34" s="277"/>
      <c r="AT34" s="277"/>
      <c r="AU34" s="277" t="s">
        <v>208</v>
      </c>
      <c r="AV34" s="277"/>
      <c r="AW34" s="7"/>
      <c r="AX34" s="7"/>
      <c r="AY34" s="7"/>
      <c r="AZ34" s="7"/>
      <c r="BA34" s="7"/>
      <c r="BB34" s="7"/>
      <c r="BC34" s="7"/>
      <c r="BD34" s="7"/>
      <c r="BE34" s="7"/>
      <c r="BF34" s="7"/>
      <c r="BG34" s="7"/>
      <c r="BH34" s="7"/>
      <c r="BI34" s="7"/>
      <c r="BJ34" s="7"/>
      <c r="BK34" s="7"/>
      <c r="BL34" s="7"/>
      <c r="BM34" s="7"/>
      <c r="BN34" s="7"/>
      <c r="BO34" s="7"/>
      <c r="BP34" s="7"/>
      <c r="BQ34" s="7"/>
      <c r="BR34" s="7"/>
      <c r="BS34" s="7"/>
      <c r="BT34" s="7"/>
    </row>
    <row r="35" spans="1:72" ht="87.75" customHeight="1" x14ac:dyDescent="0.3">
      <c r="A35" s="531"/>
      <c r="B35" s="533"/>
      <c r="C35" s="521"/>
      <c r="D35" s="521"/>
      <c r="E35" s="490">
        <v>3</v>
      </c>
      <c r="F35" s="466" t="s">
        <v>199</v>
      </c>
      <c r="G35" s="466" t="s">
        <v>200</v>
      </c>
      <c r="H35" s="466" t="s">
        <v>275</v>
      </c>
      <c r="I35" s="466" t="s">
        <v>276</v>
      </c>
      <c r="J35" s="466" t="s">
        <v>188</v>
      </c>
      <c r="K35" s="424">
        <v>12</v>
      </c>
      <c r="L35" s="428" t="str">
        <f>IF(K35&lt;=0,"",IF(K35&lt;=2,"Muy Baja",IF(K35&lt;=24,"Baja",IF(K35&lt;=500,"Media",IF(K35&lt;=5000,"Alta","Muy Alta")))))</f>
        <v>Baja</v>
      </c>
      <c r="M35" s="430">
        <f>IF(L35="","",IF(L35="Muy Baja",0.2,IF(L35="Baja",0.4,IF(L35="Media",0.6,IF(L35="Alta",0.8,IF(L35="Muy Alta",1,))))))</f>
        <v>0.4</v>
      </c>
      <c r="N35" s="473" t="s">
        <v>152</v>
      </c>
      <c r="O35" s="481" t="str">
        <f ca="1">IF(NOT(ISERROR(MATCH(N35,_xlfn.ANCHORARRAY(I77),0))),M79&amp;"Por favor no seleccionar los criterios de impacto",N35)</f>
        <v xml:space="preserve">     El riesgo afecta la imagen de la entidad con algunos usuarios de relevancia frente al logro de los objetivos</v>
      </c>
      <c r="P35" s="428" t="str">
        <f ca="1">IF(OR(O35='[4]Tabla Impacto'!$C$11,O35='[4]Tabla Impacto'!$D$11),"Leve",IF(OR(O35='[4]Tabla Impacto'!$C$12,O35='[4]Tabla Impacto'!$D$12),"Menor",IF(OR(O35='[4]Tabla Impacto'!$C$13,O35='[4]Tabla Impacto'!$D$13),"Moderado",IF(OR(O35='[4]Tabla Impacto'!$C$14,O35='[4]Tabla Impacto'!$D$14),"Mayor",IF(OR(O35='[4]Tabla Impacto'!$C$15,O35='[4]Tabla Impacto'!$D$15),"Catastrófico","")))))</f>
        <v>Moderado</v>
      </c>
      <c r="Q35" s="430">
        <f ca="1">IF(P35="","",IF(P35="Leve",0.2,IF(P35="Menor",0.4,IF(P35="Moderado",0.6,IF(P35="Mayor",0.8,IF(P35="Catastrófico",1,))))))</f>
        <v>0.6</v>
      </c>
      <c r="R35" s="484" t="str">
        <f ca="1">IF(OR(AND(L35="Muy Baja",P35="Leve"),AND(L35="Muy Baja",P35="Menor"),AND(L35="Baja",P35="Leve")),"Bajo",IF(OR(AND(L35="Muy baja",P35="Moderado"),AND(L35="Baja",P35="Menor"),AND(L35="Baja",P35="Moderado"),AND(L35="Media",P35="Leve"),AND(L35="Media",P35="Menor"),AND(L35="Media",P35="Moderado"),AND(L35="Alta",P35="Leve"),AND(L35="Alta",P35="Menor")),"Moderado",IF(OR(AND(L35="Muy Baja",P35="Mayor"),AND(L35="Baja",P35="Mayor"),AND(L35="Media",P35="Mayor"),AND(L35="Alta",P35="Moderado"),AND(L35="Alta",P35="Mayor"),AND(L35="Muy Alta",P35="Leve"),AND(L35="Muy Alta",P35="Menor"),AND(L35="Muy Alta",P35="Moderado"),AND(L35="Muy Alta",P35="Mayor")),"Alto",IF(OR(AND(L35="Muy Baja",P35="Catastrófico"),AND(L35="Baja",P35="Catastrófico"),AND(L35="Media",P35="Catastrófico"),AND(L35="Alta",P35="Catastrófico"),AND(L35="Muy Alta",P35="Catastrófico")),"Extremo",""))))</f>
        <v>Moderado</v>
      </c>
      <c r="S35" s="125">
        <v>1</v>
      </c>
      <c r="T35" s="259" t="s">
        <v>277</v>
      </c>
      <c r="U35" s="260" t="s">
        <v>154</v>
      </c>
      <c r="V35" s="261" t="s">
        <v>155</v>
      </c>
      <c r="W35" s="261" t="s">
        <v>156</v>
      </c>
      <c r="X35" s="262" t="str">
        <f t="shared" si="32"/>
        <v>40%</v>
      </c>
      <c r="Y35" s="261" t="s">
        <v>157</v>
      </c>
      <c r="Z35" s="261" t="s">
        <v>158</v>
      </c>
      <c r="AA35" s="261" t="s">
        <v>159</v>
      </c>
      <c r="AB35" s="263">
        <f>IFERROR(IF(U35="Probabilidad",(M35-(+M35*X35)),IF(U35="Impacto",M35,"")),"")</f>
        <v>0.24</v>
      </c>
      <c r="AC35" s="269" t="str">
        <f t="shared" si="33"/>
        <v>Baja</v>
      </c>
      <c r="AD35" s="264">
        <f t="shared" si="34"/>
        <v>0.24</v>
      </c>
      <c r="AE35" s="269" t="str">
        <f t="shared" ca="1" si="35"/>
        <v>Moderado</v>
      </c>
      <c r="AF35" s="264">
        <f ca="1">IFERROR(IF(U35="Impacto",(Q35-(+Q35*X35)),IF(U35="Probabilidad",Q35,"")),"")</f>
        <v>0.6</v>
      </c>
      <c r="AG35" s="265" t="str">
        <f t="shared" ca="1" si="36"/>
        <v>Moderado</v>
      </c>
      <c r="AH35" s="266" t="s">
        <v>160</v>
      </c>
      <c r="AI35" s="466" t="s">
        <v>278</v>
      </c>
      <c r="AJ35" s="268" t="s">
        <v>267</v>
      </c>
      <c r="AK35" s="268" t="s">
        <v>206</v>
      </c>
      <c r="AL35" s="260" t="s">
        <v>207</v>
      </c>
      <c r="AM35" s="260"/>
      <c r="AN35" s="277"/>
      <c r="AO35" s="468"/>
      <c r="AP35" s="468"/>
      <c r="AQ35" s="468"/>
      <c r="AR35" s="277"/>
      <c r="AS35" s="277"/>
      <c r="AT35" s="277"/>
      <c r="AU35" s="277" t="s">
        <v>208</v>
      </c>
      <c r="AV35" s="277"/>
      <c r="AW35" s="7"/>
      <c r="AX35" s="7"/>
      <c r="AY35" s="7"/>
      <c r="AZ35" s="7"/>
      <c r="BA35" s="7"/>
      <c r="BB35" s="7"/>
      <c r="BC35" s="7"/>
      <c r="BD35" s="7"/>
      <c r="BE35" s="7"/>
      <c r="BF35" s="7"/>
      <c r="BG35" s="7"/>
      <c r="BH35" s="7"/>
      <c r="BI35" s="7"/>
      <c r="BJ35" s="7"/>
      <c r="BK35" s="7"/>
      <c r="BL35" s="7"/>
      <c r="BM35" s="7"/>
      <c r="BN35" s="7"/>
      <c r="BO35" s="7"/>
      <c r="BP35" s="7"/>
      <c r="BQ35" s="7"/>
      <c r="BR35" s="7"/>
      <c r="BS35" s="7"/>
      <c r="BT35" s="7"/>
    </row>
    <row r="36" spans="1:72" ht="131.25" customHeight="1" x14ac:dyDescent="0.3">
      <c r="A36" s="532"/>
      <c r="B36" s="533"/>
      <c r="C36" s="521"/>
      <c r="D36" s="521"/>
      <c r="E36" s="522"/>
      <c r="F36" s="427"/>
      <c r="G36" s="427"/>
      <c r="H36" s="427"/>
      <c r="I36" s="427"/>
      <c r="J36" s="427"/>
      <c r="K36" s="424"/>
      <c r="L36" s="483"/>
      <c r="M36" s="481"/>
      <c r="N36" s="473"/>
      <c r="O36" s="431"/>
      <c r="P36" s="483"/>
      <c r="Q36" s="481"/>
      <c r="R36" s="498"/>
      <c r="S36" s="125">
        <v>2</v>
      </c>
      <c r="T36" s="259" t="s">
        <v>279</v>
      </c>
      <c r="U36" s="260" t="s">
        <v>49</v>
      </c>
      <c r="V36" s="261" t="s">
        <v>169</v>
      </c>
      <c r="W36" s="261" t="s">
        <v>156</v>
      </c>
      <c r="X36" s="262" t="str">
        <f t="shared" si="32"/>
        <v>30%</v>
      </c>
      <c r="Y36" s="261" t="s">
        <v>157</v>
      </c>
      <c r="Z36" s="261" t="s">
        <v>158</v>
      </c>
      <c r="AA36" s="261" t="s">
        <v>159</v>
      </c>
      <c r="AB36" s="263">
        <f>IFERROR(IF(U36="Probabilidad",(AB35-(+AB35*X36)),IF(U36="Impacto",AB35,"")),"")</f>
        <v>0.24</v>
      </c>
      <c r="AC36" s="269" t="str">
        <f t="shared" si="33"/>
        <v>Baja</v>
      </c>
      <c r="AD36" s="264">
        <f t="shared" si="34"/>
        <v>0.24</v>
      </c>
      <c r="AE36" s="269" t="str">
        <f t="shared" ca="1" si="35"/>
        <v>Moderado</v>
      </c>
      <c r="AF36" s="264">
        <f ca="1">IFERROR(IF(U36="Impacto",(Q35-(+Q35*X36)),IF(U36="Probabilidad",Q35,"")),"")</f>
        <v>0.42</v>
      </c>
      <c r="AG36" s="265" t="str">
        <f t="shared" ca="1" si="36"/>
        <v>Moderado</v>
      </c>
      <c r="AH36" s="266" t="s">
        <v>160</v>
      </c>
      <c r="AI36" s="427"/>
      <c r="AJ36" s="268" t="s">
        <v>267</v>
      </c>
      <c r="AK36" s="268" t="s">
        <v>206</v>
      </c>
      <c r="AL36" s="260" t="s">
        <v>207</v>
      </c>
      <c r="AM36" s="260"/>
      <c r="AN36" s="277"/>
      <c r="AO36" s="425"/>
      <c r="AP36" s="425"/>
      <c r="AQ36" s="425"/>
      <c r="AR36" s="277"/>
      <c r="AS36" s="277"/>
      <c r="AT36" s="277"/>
      <c r="AU36" s="277" t="s">
        <v>208</v>
      </c>
      <c r="AV36" s="277"/>
      <c r="AW36" s="7"/>
      <c r="AX36" s="7"/>
      <c r="AY36" s="7"/>
      <c r="AZ36" s="7"/>
      <c r="BA36" s="7"/>
      <c r="BB36" s="7"/>
      <c r="BC36" s="7"/>
      <c r="BD36" s="7"/>
      <c r="BE36" s="7"/>
      <c r="BF36" s="7"/>
      <c r="BG36" s="7"/>
      <c r="BH36" s="7"/>
      <c r="BI36" s="7"/>
      <c r="BJ36" s="7"/>
      <c r="BK36" s="7"/>
      <c r="BL36" s="7"/>
      <c r="BM36" s="7"/>
      <c r="BN36" s="7"/>
      <c r="BO36" s="7"/>
      <c r="BP36" s="7"/>
      <c r="BQ36" s="7"/>
      <c r="BR36" s="7"/>
      <c r="BS36" s="7"/>
      <c r="BT36" s="7"/>
    </row>
    <row r="37" spans="1:72" s="3" customFormat="1" ht="368.25" customHeight="1" x14ac:dyDescent="0.25">
      <c r="A37" s="526" t="s">
        <v>280</v>
      </c>
      <c r="B37" s="526" t="s">
        <v>281</v>
      </c>
      <c r="C37" s="526" t="s">
        <v>198</v>
      </c>
      <c r="D37" s="529" t="s">
        <v>24</v>
      </c>
      <c r="E37" s="491">
        <v>1</v>
      </c>
      <c r="F37" s="426" t="s">
        <v>199</v>
      </c>
      <c r="G37" s="426" t="s">
        <v>200</v>
      </c>
      <c r="H37" s="426" t="s">
        <v>282</v>
      </c>
      <c r="I37" s="426" t="s">
        <v>283</v>
      </c>
      <c r="J37" s="426" t="s">
        <v>151</v>
      </c>
      <c r="K37" s="424">
        <v>300</v>
      </c>
      <c r="L37" s="428" t="str">
        <f>IF(K37&lt;=0,"",IF(K37&lt;=2,"Muy Baja",IF(K37&lt;=24,"Baja",IF(K37&lt;=500,"Media",IF(K37&lt;=5000,"Alta","Muy Alta")))))</f>
        <v>Media</v>
      </c>
      <c r="M37" s="430">
        <f>IF(L37="","",IF(L37="Muy Baja",0.2,IF(L37="Baja",0.4,IF(L37="Media",0.6,IF(L37="Alta",0.8,IF(L37="Muy Alta",1,))))))</f>
        <v>0.6</v>
      </c>
      <c r="N37" s="555" t="str">
        <f>'Tabla Impacto'!D7</f>
        <v>El riesgo afecta la imagen de de la entidad con efecto publicitario sostenido a nivel de sector administrativo, nivel departamental o municipal</v>
      </c>
      <c r="O37" s="430" t="str">
        <f ca="1">IF(NOT(ISERROR(MATCH(N37,_xlfn.ANCHORARRAY(I37),0))),M37&amp;"Por favor no seleccionar los criterios de impacto",N37)</f>
        <v>El riesgo afecta la imagen de de la entidad con efecto publicitario sostenido a nivel de sector administrativo, nivel departamental o municipal</v>
      </c>
      <c r="P37" s="428" t="str">
        <f ca="1">IF(OR(O37='Tabla Impacto'!$C$4,O37='Tabla Impacto'!$D$4),"Leve",IF(OR(O37='Tabla Impacto'!$C$5,O37='Tabla Impacto'!$D$5),"Menor",IF(OR(O37='Tabla Impacto'!$C$6,O37='Tabla Impacto'!$D$6),"Moderado",IF(OR(O37='Tabla Impacto'!$C$7,O37='Tabla Impacto'!$D$7),"Mayor",IF(OR(O37='Tabla Impacto'!$C$8,O37='Tabla Impacto'!$D$8),"Catastrófico","")))))</f>
        <v>Mayor</v>
      </c>
      <c r="Q37" s="430">
        <f ca="1">IF(P37="","",IF(P37="Leve",0.2,IF(P37="Menor",0.4,IF(P37="Moderado",0.6,IF(P37="Mayor",0.8,IF(P37="Catastrófico",1,))))))</f>
        <v>0.8</v>
      </c>
      <c r="R37" s="484" t="str">
        <f ca="1">IF(OR(AND(L37="Muy Baja",P37="Leve"),AND(L37="Muy Baja",P37="Menor"),AND(L37="Baja",P37="Leve")),"Bajo",IF(OR(AND(L37="Muy baja",P37="Moderado"),AND(L37="Baja",P37="Menor"),AND(L37="Baja",P37="Moderado"),AND(L37="Media",P37="Leve"),AND(L37="Media",P37="Menor"),AND(L37="Media",P37="Moderado"),AND(L37="Alta",P37="Leve"),AND(L37="Alta",P37="Menor")),"Moderado",IF(OR(AND(L37="Muy Baja",P37="Mayor"),AND(L37="Baja",P37="Mayor"),AND(L37="Media",P37="Mayor"),AND(L37="Alta",P37="Moderado"),AND(L37="Alta",P37="Mayor"),AND(L37="Muy Alta",P37="Leve"),AND(L37="Muy Alta",P37="Menor"),AND(L37="Muy Alta",P37="Moderado"),AND(L37="Muy Alta",P37="Mayor")),"Alto",IF(OR(AND(L37="Muy Baja",P37="Catastrófico"),AND(L37="Baja",P37="Catastrófico"),AND(L37="Media",P37="Catastrófico"),AND(L37="Alta",P37="Catastrófico"),AND(L37="Muy Alta",P37="Catastrófico")),"Extremo",""))))</f>
        <v>Alto</v>
      </c>
      <c r="S37" s="125">
        <v>1</v>
      </c>
      <c r="T37" s="259" t="s">
        <v>284</v>
      </c>
      <c r="U37" s="260" t="s">
        <v>154</v>
      </c>
      <c r="V37" s="261" t="s">
        <v>155</v>
      </c>
      <c r="W37" s="261" t="s">
        <v>156</v>
      </c>
      <c r="X37" s="262" t="str">
        <f t="shared" si="32"/>
        <v>40%</v>
      </c>
      <c r="Y37" s="261" t="s">
        <v>157</v>
      </c>
      <c r="Z37" s="261" t="s">
        <v>158</v>
      </c>
      <c r="AA37" s="261" t="s">
        <v>159</v>
      </c>
      <c r="AB37" s="263">
        <f>IFERROR(IF(U37="Probabilidad",(M37-(+M37*X37)),IF(U37="Impacto",M37,"")),"")</f>
        <v>0.36</v>
      </c>
      <c r="AC37" s="269" t="str">
        <f t="shared" si="33"/>
        <v>Baja</v>
      </c>
      <c r="AD37" s="264">
        <f t="shared" si="34"/>
        <v>0.36</v>
      </c>
      <c r="AE37" s="269" t="str">
        <f t="shared" ca="1" si="35"/>
        <v>Mayor</v>
      </c>
      <c r="AF37" s="264">
        <f ca="1">IFERROR(IF(U37="Impacto",(Q37-(+Q37*X37)),IF(U37="Probabilidad",Q37,"")),"")</f>
        <v>0.8</v>
      </c>
      <c r="AG37" s="265" t="str">
        <f t="shared" ca="1" si="36"/>
        <v>Alto</v>
      </c>
      <c r="AH37" s="266" t="s">
        <v>160</v>
      </c>
      <c r="AI37" s="466" t="s">
        <v>285</v>
      </c>
      <c r="AJ37" s="187" t="s">
        <v>286</v>
      </c>
      <c r="AK37" s="188" t="s">
        <v>287</v>
      </c>
      <c r="AL37" s="189" t="s">
        <v>207</v>
      </c>
      <c r="AM37" s="131"/>
      <c r="AN37" s="277" t="s">
        <v>165</v>
      </c>
      <c r="AO37" s="468"/>
      <c r="AP37" s="468"/>
      <c r="AQ37" s="468"/>
      <c r="AR37" s="277"/>
      <c r="AS37" s="277"/>
      <c r="AT37" s="277" t="s">
        <v>208</v>
      </c>
      <c r="AU37" s="277" t="s">
        <v>208</v>
      </c>
      <c r="AV37" s="277"/>
      <c r="AW37" s="26"/>
      <c r="AX37" s="26"/>
      <c r="AY37" s="26"/>
      <c r="AZ37" s="26"/>
      <c r="BA37" s="26"/>
      <c r="BB37" s="26"/>
      <c r="BC37" s="26"/>
      <c r="BD37" s="26"/>
      <c r="BE37" s="26"/>
      <c r="BF37" s="26"/>
      <c r="BG37" s="26"/>
      <c r="BH37" s="26"/>
      <c r="BI37" s="26"/>
      <c r="BJ37" s="26"/>
      <c r="BK37" s="26"/>
      <c r="BL37" s="26"/>
      <c r="BM37" s="26"/>
      <c r="BN37" s="26"/>
      <c r="BO37" s="26"/>
      <c r="BP37" s="26"/>
      <c r="BQ37" s="26"/>
      <c r="BR37" s="26"/>
      <c r="BS37" s="26"/>
      <c r="BT37" s="26"/>
    </row>
    <row r="38" spans="1:72" s="3" customFormat="1" ht="261" customHeight="1" x14ac:dyDescent="0.25">
      <c r="A38" s="527"/>
      <c r="B38" s="527"/>
      <c r="C38" s="528"/>
      <c r="D38" s="530"/>
      <c r="E38" s="522"/>
      <c r="F38" s="427"/>
      <c r="G38" s="427"/>
      <c r="H38" s="427"/>
      <c r="I38" s="427"/>
      <c r="J38" s="427"/>
      <c r="K38" s="424"/>
      <c r="L38" s="429"/>
      <c r="M38" s="431"/>
      <c r="N38" s="473"/>
      <c r="O38" s="481"/>
      <c r="P38" s="429"/>
      <c r="Q38" s="431"/>
      <c r="R38" s="486"/>
      <c r="S38" s="125">
        <v>2</v>
      </c>
      <c r="T38" s="259" t="s">
        <v>288</v>
      </c>
      <c r="U38" s="260" t="s">
        <v>154</v>
      </c>
      <c r="V38" s="261" t="s">
        <v>155</v>
      </c>
      <c r="W38" s="261" t="s">
        <v>156</v>
      </c>
      <c r="X38" s="262" t="str">
        <f t="shared" si="32"/>
        <v>40%</v>
      </c>
      <c r="Y38" s="261" t="s">
        <v>157</v>
      </c>
      <c r="Z38" s="261" t="s">
        <v>158</v>
      </c>
      <c r="AA38" s="261" t="s">
        <v>159</v>
      </c>
      <c r="AB38" s="263">
        <f>IFERROR(IF(U38="Probabilidad",(AB37-(+AB37*X38)),IF(U38="Impacto",AB37,"")),"")</f>
        <v>0.216</v>
      </c>
      <c r="AC38" s="269" t="str">
        <f t="shared" si="33"/>
        <v>Baja</v>
      </c>
      <c r="AD38" s="124">
        <f t="shared" si="34"/>
        <v>0.216</v>
      </c>
      <c r="AE38" s="269" t="str">
        <f t="shared" ca="1" si="35"/>
        <v>Mayor</v>
      </c>
      <c r="AF38" s="264">
        <f ca="1">IFERROR(IF(U38="Impacto",(Q37-(+Q37*X38)),IF(U38="Probabilidad",Q37,"")),"")</f>
        <v>0.8</v>
      </c>
      <c r="AG38" s="265" t="str">
        <f t="shared" ca="1" si="36"/>
        <v>Alto</v>
      </c>
      <c r="AH38" s="266" t="s">
        <v>160</v>
      </c>
      <c r="AI38" s="427"/>
      <c r="AJ38" s="187" t="s">
        <v>286</v>
      </c>
      <c r="AK38" s="188" t="s">
        <v>287</v>
      </c>
      <c r="AL38" s="189" t="s">
        <v>207</v>
      </c>
      <c r="AM38" s="260"/>
      <c r="AN38" s="277" t="s">
        <v>165</v>
      </c>
      <c r="AO38" s="425"/>
      <c r="AP38" s="425"/>
      <c r="AQ38" s="425"/>
      <c r="AR38" s="277"/>
      <c r="AS38" s="277"/>
      <c r="AT38" s="277" t="s">
        <v>208</v>
      </c>
      <c r="AU38" s="277" t="s">
        <v>208</v>
      </c>
      <c r="AV38" s="277"/>
      <c r="AW38" s="26"/>
      <c r="AX38" s="26"/>
      <c r="AY38" s="26"/>
      <c r="AZ38" s="26"/>
      <c r="BA38" s="26"/>
      <c r="BB38" s="26"/>
      <c r="BC38" s="26"/>
      <c r="BD38" s="26"/>
      <c r="BE38" s="26"/>
      <c r="BF38" s="26"/>
      <c r="BG38" s="26"/>
      <c r="BH38" s="26"/>
      <c r="BI38" s="26"/>
      <c r="BJ38" s="26"/>
      <c r="BK38" s="26"/>
      <c r="BL38" s="26"/>
      <c r="BM38" s="26"/>
      <c r="BN38" s="26"/>
      <c r="BO38" s="26"/>
      <c r="BP38" s="26"/>
      <c r="BQ38" s="26"/>
      <c r="BR38" s="26"/>
      <c r="BS38" s="26"/>
      <c r="BT38" s="26"/>
    </row>
    <row r="39" spans="1:72" s="3" customFormat="1" ht="105.75" customHeight="1" x14ac:dyDescent="0.25">
      <c r="A39" s="627" t="s">
        <v>17</v>
      </c>
      <c r="B39" s="526" t="s">
        <v>289</v>
      </c>
      <c r="C39" s="630" t="s">
        <v>290</v>
      </c>
      <c r="D39" s="631" t="s">
        <v>30</v>
      </c>
      <c r="E39" s="632">
        <v>1</v>
      </c>
      <c r="F39" s="426" t="s">
        <v>223</v>
      </c>
      <c r="G39" s="426" t="s">
        <v>291</v>
      </c>
      <c r="H39" s="426" t="s">
        <v>292</v>
      </c>
      <c r="I39" s="523" t="s">
        <v>293</v>
      </c>
      <c r="J39" s="426" t="s">
        <v>151</v>
      </c>
      <c r="K39" s="426">
        <f>20*12</f>
        <v>240</v>
      </c>
      <c r="L39" s="428" t="str">
        <f>IF(K39&lt;=0,"",IF(K39&lt;=2,"Muy Baja",IF(K39&lt;=24,"Baja",IF(K39&lt;=500,"Media",IF(K39&lt;=5000,"Alta","Muy Alta")))))</f>
        <v>Media</v>
      </c>
      <c r="M39" s="430">
        <f>IF(L39="","",IF(L39="Muy Baja",0.2,IF(L39="Baja",0.4,IF(L39="Media",0.6,IF(L39="Alta",0.8,IF(L39="Muy Alta",1,))))))</f>
        <v>0.6</v>
      </c>
      <c r="N39" s="473" t="s">
        <v>152</v>
      </c>
      <c r="O39" s="430" t="str">
        <f>IF(NOT(ISERROR(MATCH(N39,'[5]Tabla Impacto'!$B$221:$B$223,0))),'[5]Tabla Impacto'!$F$223&amp;"Por favor no seleccionar los criterios de impacto(Afectación Económica o presupuestal y Pérdida Reputacional)",N39)</f>
        <v xml:space="preserve">     El riesgo afecta la imagen de la entidad con algunos usuarios de relevancia frente al logro de los objetivos</v>
      </c>
      <c r="P39" s="428" t="str">
        <f>IF(OR(O39='[5]Tabla Impacto'!$C$11,O39='[5]Tabla Impacto'!$D$11),"Leve",IF(OR(O39='[5]Tabla Impacto'!$C$12,O39='[5]Tabla Impacto'!$D$12),"Menor",IF(OR(O39='[5]Tabla Impacto'!$C$13,O39='[5]Tabla Impacto'!$D$13),"Moderado",IF(OR(O39='[5]Tabla Impacto'!$C$14,O39='[5]Tabla Impacto'!$D$14),"Mayor",IF(OR(O39='[5]Tabla Impacto'!$C$15,O39='[5]Tabla Impacto'!$D$15),"Catastrófico","")))))</f>
        <v>Moderado</v>
      </c>
      <c r="Q39" s="430">
        <f>IF(P39="","",IF(P39="Leve",0.2,IF(P39="Menor",0.4,IF(P39="Moderado",0.6,IF(P39="Mayor",0.8,IF(P39="Catastrófico",1,))))))</f>
        <v>0.6</v>
      </c>
      <c r="R39" s="484" t="str">
        <f>IF(OR(AND(L39="Muy Baja",P39="Leve"),AND(L39="Muy Baja",P39="Menor"),AND(L39="Baja",P39="Leve")),"Bajo",IF(OR(AND(L39="Muy baja",P39="Moderado"),AND(L39="Baja",P39="Menor"),AND(L39="Baja",P39="Moderado"),AND(L39="Media",P39="Leve"),AND(L39="Media",P39="Menor"),AND(L39="Media",P39="Moderado"),AND(L39="Alta",P39="Leve"),AND(L39="Alta",P39="Menor")),"Moderado",IF(OR(AND(L39="Muy Baja",P39="Mayor"),AND(L39="Baja",P39="Mayor"),AND(L39="Media",P39="Mayor"),AND(L39="Alta",P39="Moderado"),AND(L39="Alta",P39="Mayor"),AND(L39="Muy Alta",P39="Leve"),AND(L39="Muy Alta",P39="Menor"),AND(L39="Muy Alta",P39="Moderado"),AND(L39="Muy Alta",P39="Mayor")),"Alto",IF(OR(AND(L39="Muy Baja",P39="Catastrófico"),AND(L39="Baja",P39="Catastrófico"),AND(L39="Media",P39="Catastrófico"),AND(L39="Alta",P39="Catastrófico"),AND(L39="Muy Alta",P39="Catastrófico")),"Extremo",""))))</f>
        <v>Moderado</v>
      </c>
      <c r="S39" s="154">
        <v>1</v>
      </c>
      <c r="T39" s="155" t="s">
        <v>294</v>
      </c>
      <c r="U39" s="260" t="s">
        <v>154</v>
      </c>
      <c r="V39" s="261" t="s">
        <v>155</v>
      </c>
      <c r="W39" s="261" t="s">
        <v>295</v>
      </c>
      <c r="X39" s="262" t="str">
        <f t="shared" ref="X39:X40" si="40">IF(AND(V39="Preventivo",W39="Automático"),"50%",IF(AND(V39="Preventivo",W39="Manual"),"40%",IF(AND(V39="Detectivo",W39="Automático"),"40%",IF(AND(V39="Detectivo",W39="Manual"),"30%",IF(AND(V39="Correctivo",W39="Automático"),"35%",IF(AND(V39="Correctivo",W39="Manual"),"25%",""))))))</f>
        <v>50%</v>
      </c>
      <c r="Y39" s="261" t="s">
        <v>157</v>
      </c>
      <c r="Z39" s="261" t="s">
        <v>158</v>
      </c>
      <c r="AA39" s="261" t="s">
        <v>159</v>
      </c>
      <c r="AB39" s="263">
        <f>IFERROR(IF(U39="Probabilidad",(M39-(+M39*X39)),IF(U39="Impacto",M39,"")),"")</f>
        <v>0.3</v>
      </c>
      <c r="AC39" s="269" t="str">
        <f t="shared" ref="AC39:AC40" si="41">IFERROR(IF(AB39="","",IF(AB39&lt;=0.2,"Muy Baja",IF(AB39&lt;=0.4,"Baja",IF(AB39&lt;=0.6,"Media",IF(AB39&lt;=0.8,"Alta","Muy Alta"))))),"")</f>
        <v>Baja</v>
      </c>
      <c r="AD39" s="124">
        <f>+AB39</f>
        <v>0.3</v>
      </c>
      <c r="AE39" s="269" t="str">
        <f t="shared" ref="AE39:AE40" si="42">IFERROR(IF(AF39="","",IF(AF39&lt;=0.2,"Leve",IF(AF39&lt;=0.4,"Menor",IF(AF39&lt;=0.6,"Moderado",IF(AF39&lt;=0.8,"Mayor","Catastrófico"))))),"")</f>
        <v>Moderado</v>
      </c>
      <c r="AF39" s="264">
        <f>IFERROR(IF(U39="Impacto",(Q39-(+Q39*X39)),IF(U39="Probabilidad",Q39,"")),"")</f>
        <v>0.6</v>
      </c>
      <c r="AG39" s="265" t="str">
        <f t="shared" ref="AG39:AG40" si="43">IFERROR(IF(OR(AND(AC39="Muy Baja",AE39="Leve"),AND(AC39="Muy Baja",AE39="Menor"),AND(AC39="Baja",AE39="Leve")),"Bajo",IF(OR(AND(AC39="Muy baja",AE39="Moderado"),AND(AC39="Baja",AE39="Menor"),AND(AC39="Baja",AE39="Moderado"),AND(AC39="Media",AE39="Leve"),AND(AC39="Media",AE39="Menor"),AND(AC39="Media",AE39="Moderado"),AND(AC39="Alta",AE39="Leve"),AND(AC39="Alta",AE39="Menor")),"Moderado",IF(OR(AND(AC39="Muy Baja",AE39="Mayor"),AND(AC39="Baja",AE39="Mayor"),AND(AC39="Media",AE39="Mayor"),AND(AC39="Alta",AE39="Moderado"),AND(AC39="Alta",AE39="Mayor"),AND(AC39="Muy Alta",AE39="Leve"),AND(AC39="Muy Alta",AE39="Menor"),AND(AC39="Muy Alta",AE39="Moderado"),AND(AC39="Muy Alta",AE39="Mayor")),"Alto",IF(OR(AND(AC39="Muy Baja",AE39="Catastrófico"),AND(AC39="Baja",AE39="Catastrófico"),AND(AC39="Media",AE39="Catastrófico"),AND(AC39="Alta",AE39="Catastrófico"),AND(AC39="Muy Alta",AE39="Catastrófico")),"Extremo","")))),"")</f>
        <v>Moderado</v>
      </c>
      <c r="AH39" s="266" t="s">
        <v>296</v>
      </c>
      <c r="AI39" s="466" t="s">
        <v>587</v>
      </c>
      <c r="AJ39" s="275" t="s">
        <v>30</v>
      </c>
      <c r="AK39" s="156" t="s">
        <v>589</v>
      </c>
      <c r="AL39" s="189" t="s">
        <v>220</v>
      </c>
      <c r="AM39" s="278"/>
      <c r="AN39" s="277" t="s">
        <v>165</v>
      </c>
      <c r="AO39" s="468"/>
      <c r="AP39" s="468"/>
      <c r="AQ39" s="468"/>
      <c r="AR39" s="277" t="s">
        <v>208</v>
      </c>
      <c r="AS39" s="277"/>
      <c r="AT39" s="277" t="s">
        <v>208</v>
      </c>
      <c r="AU39" s="277" t="s">
        <v>208</v>
      </c>
      <c r="AV39" s="277" t="s">
        <v>208</v>
      </c>
      <c r="AW39" s="26"/>
      <c r="AX39" s="26"/>
      <c r="AY39" s="26"/>
      <c r="AZ39" s="26"/>
      <c r="BA39" s="26"/>
      <c r="BB39" s="26"/>
      <c r="BC39" s="26"/>
      <c r="BD39" s="26"/>
      <c r="BE39" s="26"/>
      <c r="BF39" s="26"/>
      <c r="BG39" s="26"/>
      <c r="BH39" s="26"/>
      <c r="BI39" s="26"/>
      <c r="BJ39" s="26"/>
      <c r="BK39" s="26"/>
      <c r="BL39" s="26"/>
      <c r="BM39" s="26"/>
      <c r="BN39" s="26"/>
      <c r="BO39" s="26"/>
      <c r="BP39" s="26"/>
      <c r="BQ39" s="26"/>
      <c r="BR39" s="26"/>
      <c r="BS39" s="26"/>
      <c r="BT39" s="26"/>
    </row>
    <row r="40" spans="1:72" s="3" customFormat="1" ht="123.95" customHeight="1" x14ac:dyDescent="0.25">
      <c r="A40" s="628"/>
      <c r="B40" s="496"/>
      <c r="C40" s="496"/>
      <c r="D40" s="493"/>
      <c r="E40" s="525"/>
      <c r="F40" s="427"/>
      <c r="G40" s="427"/>
      <c r="H40" s="427"/>
      <c r="I40" s="427"/>
      <c r="J40" s="427"/>
      <c r="K40" s="427"/>
      <c r="L40" s="429"/>
      <c r="M40" s="431"/>
      <c r="N40" s="473"/>
      <c r="O40" s="431"/>
      <c r="P40" s="429"/>
      <c r="Q40" s="431"/>
      <c r="R40" s="486"/>
      <c r="S40" s="154">
        <v>2</v>
      </c>
      <c r="T40" s="155" t="s">
        <v>297</v>
      </c>
      <c r="U40" s="260" t="s">
        <v>154</v>
      </c>
      <c r="V40" s="261" t="s">
        <v>155</v>
      </c>
      <c r="W40" s="261" t="s">
        <v>295</v>
      </c>
      <c r="X40" s="262" t="str">
        <f t="shared" si="40"/>
        <v>50%</v>
      </c>
      <c r="Y40" s="261" t="s">
        <v>157</v>
      </c>
      <c r="Z40" s="261" t="s">
        <v>158</v>
      </c>
      <c r="AA40" s="261" t="s">
        <v>159</v>
      </c>
      <c r="AB40" s="263">
        <f>IFERROR(IF(U40="Probabilidad",(AB39-(+AB39*X40)),IF(U40="Impacto",M39,"")),"")</f>
        <v>0.15</v>
      </c>
      <c r="AC40" s="269" t="str">
        <f t="shared" si="41"/>
        <v>Muy Baja</v>
      </c>
      <c r="AD40" s="124">
        <f t="shared" ref="AD40" si="44">+AB40</f>
        <v>0.15</v>
      </c>
      <c r="AE40" s="269" t="str">
        <f t="shared" si="42"/>
        <v>Moderado</v>
      </c>
      <c r="AF40" s="264">
        <f t="shared" ref="AF40" si="45">IFERROR(IF(U40="Impacto",(Q39-(+Q39*X40)),IF(U40="Probabilidad",Q39,"")),"")</f>
        <v>0.6</v>
      </c>
      <c r="AG40" s="265" t="str">
        <f t="shared" si="43"/>
        <v>Moderado</v>
      </c>
      <c r="AH40" s="266" t="s">
        <v>160</v>
      </c>
      <c r="AI40" s="427"/>
      <c r="AJ40" s="275" t="s">
        <v>30</v>
      </c>
      <c r="AK40" s="156" t="s">
        <v>589</v>
      </c>
      <c r="AL40" s="189" t="s">
        <v>220</v>
      </c>
      <c r="AM40" s="260"/>
      <c r="AN40" s="277" t="s">
        <v>165</v>
      </c>
      <c r="AO40" s="425"/>
      <c r="AP40" s="425"/>
      <c r="AQ40" s="425"/>
      <c r="AR40" s="277" t="s">
        <v>208</v>
      </c>
      <c r="AS40" s="277"/>
      <c r="AT40" s="277" t="s">
        <v>208</v>
      </c>
      <c r="AU40" s="277" t="s">
        <v>208</v>
      </c>
      <c r="AV40" s="277" t="s">
        <v>208</v>
      </c>
      <c r="AW40" s="26"/>
      <c r="AX40" s="26"/>
      <c r="AY40" s="26"/>
      <c r="AZ40" s="26"/>
      <c r="BA40" s="26"/>
      <c r="BB40" s="26"/>
      <c r="BC40" s="26"/>
      <c r="BD40" s="26"/>
      <c r="BE40" s="26"/>
      <c r="BF40" s="26"/>
      <c r="BG40" s="26"/>
      <c r="BH40" s="26"/>
      <c r="BI40" s="26"/>
      <c r="BJ40" s="26"/>
      <c r="BK40" s="26"/>
      <c r="BL40" s="26"/>
      <c r="BM40" s="26"/>
      <c r="BN40" s="26"/>
      <c r="BO40" s="26"/>
      <c r="BP40" s="26"/>
      <c r="BQ40" s="26"/>
      <c r="BR40" s="26"/>
      <c r="BS40" s="26"/>
      <c r="BT40" s="26"/>
    </row>
    <row r="41" spans="1:72" s="3" customFormat="1" ht="76.5" customHeight="1" x14ac:dyDescent="0.25">
      <c r="A41" s="628"/>
      <c r="B41" s="496"/>
      <c r="C41" s="496"/>
      <c r="D41" s="493"/>
      <c r="E41" s="524">
        <v>2</v>
      </c>
      <c r="F41" s="426" t="s">
        <v>172</v>
      </c>
      <c r="G41" s="426" t="s">
        <v>291</v>
      </c>
      <c r="H41" s="426" t="s">
        <v>298</v>
      </c>
      <c r="I41" s="523" t="s">
        <v>591</v>
      </c>
      <c r="J41" s="426" t="s">
        <v>151</v>
      </c>
      <c r="K41" s="468">
        <v>12</v>
      </c>
      <c r="L41" s="428" t="str">
        <f>IF(K41&lt;=0,"",IF(K41&lt;=2,"Muy Baja",IF(K41&lt;=24,"Baja",IF(K41&lt;=500,"Media",IF(K41&lt;=5000,"Alta","Muy Alta")))))</f>
        <v>Baja</v>
      </c>
      <c r="M41" s="430">
        <f>IF(L41="","",IF(L41="Muy Baja",0.2,IF(L41="Baja",0.4,IF(L41="Media",0.6,IF(L41="Alta",0.8,IF(L41="Muy Alta",1,))))))</f>
        <v>0.4</v>
      </c>
      <c r="N41" s="473" t="s">
        <v>152</v>
      </c>
      <c r="O41" s="430" t="str">
        <f>IF(NOT(ISERROR(MATCH(N41,'[5]Tabla Impacto'!$B$221:$B$223,0))),'[5]Tabla Impacto'!$F$223&amp;"Por favor no seleccionar los criterios de impacto(Afectación Económica o presupuestal y Pérdida Reputacional)",N41)</f>
        <v xml:space="preserve">     El riesgo afecta la imagen de la entidad con algunos usuarios de relevancia frente al logro de los objetivos</v>
      </c>
      <c r="P41" s="428" t="str">
        <f>IF(OR(O41='[5]Tabla Impacto'!$C$11,O41='[5]Tabla Impacto'!$D$11),"Leve",IF(OR(O41='[5]Tabla Impacto'!$C$12,O41='[5]Tabla Impacto'!$D$12),"Menor",IF(OR(O41='[5]Tabla Impacto'!$C$13,O41='[5]Tabla Impacto'!$D$13),"Moderado",IF(OR(O41='[5]Tabla Impacto'!$C$14,O41='[5]Tabla Impacto'!$D$14),"Mayor",IF(OR(O41='[5]Tabla Impacto'!$C$15,O41='[5]Tabla Impacto'!$D$15),"Catastrófico","")))))</f>
        <v>Moderado</v>
      </c>
      <c r="Q41" s="430">
        <f>IF(P41="","",IF(P41="Leve",0.2,IF(P41="Menor",0.4,IF(P41="Moderado",0.6,IF(P41="Mayor",0.8,IF(P41="Catastrófico",1,))))))</f>
        <v>0.6</v>
      </c>
      <c r="R41" s="484" t="str">
        <f>IF(OR(AND(L41="Muy Baja",P41="Leve"),AND(L41="Muy Baja",P41="Menor"),AND(L41="Baja",P41="Leve")),"Bajo",IF(OR(AND(L41="Muy baja",P41="Moderado"),AND(L41="Baja",P41="Menor"),AND(L41="Baja",P41="Moderado"),AND(L41="Media",P41="Leve"),AND(L41="Media",P41="Menor"),AND(L41="Media",P41="Moderado"),AND(L41="Alta",P41="Leve"),AND(L41="Alta",P41="Menor")),"Moderado",IF(OR(AND(L41="Muy Baja",P41="Mayor"),AND(L41="Baja",P41="Mayor"),AND(L41="Media",P41="Mayor"),AND(L41="Alta",P41="Moderado"),AND(L41="Alta",P41="Mayor"),AND(L41="Muy Alta",P41="Leve"),AND(L41="Muy Alta",P41="Menor"),AND(L41="Muy Alta",P41="Moderado"),AND(L41="Muy Alta",P41="Mayor")),"Alto",IF(OR(AND(L41="Muy Baja",P41="Catastrófico"),AND(L41="Baja",P41="Catastrófico"),AND(L41="Media",P41="Catastrófico"),AND(L41="Alta",P41="Catastrófico"),AND(L41="Muy Alta",P41="Catastrófico")),"Extremo",""))))</f>
        <v>Moderado</v>
      </c>
      <c r="S41" s="154">
        <v>1</v>
      </c>
      <c r="T41" s="155" t="s">
        <v>299</v>
      </c>
      <c r="U41" s="260" t="str">
        <f t="shared" ref="U41:U42" si="46">IF(OR(V41="Preventivo",V41="Detectivo"),"Probabilidad",IF(V41="Correctivo","Impacto",""))</f>
        <v>Probabilidad</v>
      </c>
      <c r="V41" s="261" t="s">
        <v>169</v>
      </c>
      <c r="W41" s="261" t="s">
        <v>295</v>
      </c>
      <c r="X41" s="262" t="str">
        <f t="shared" ref="X41:X45" si="47">IF(AND(V41="Preventivo",W41="Automático"),"50%",IF(AND(V41="Preventivo",W41="Manual"),"40%",IF(AND(V41="Detectivo",W41="Automático"),"40%",IF(AND(V41="Detectivo",W41="Manual"),"30%",IF(AND(V41="Correctivo",W41="Automático"),"35%",IF(AND(V41="Correctivo",W41="Manual"),"25%",""))))))</f>
        <v>40%</v>
      </c>
      <c r="Y41" s="261" t="s">
        <v>157</v>
      </c>
      <c r="Z41" s="261" t="s">
        <v>158</v>
      </c>
      <c r="AA41" s="261" t="s">
        <v>159</v>
      </c>
      <c r="AB41" s="263">
        <f>IFERROR(IF(U41="Probabilidad",(M41-(+M41*X41)),IF(U41="Impacto",M41,"")),"")</f>
        <v>0.24</v>
      </c>
      <c r="AC41" s="269" t="str">
        <f t="shared" ref="AC41:AC45" si="48">IFERROR(IF(AB41="","",IF(AB41&lt;=0.2,"Muy Baja",IF(AB41&lt;=0.4,"Baja",IF(AB41&lt;=0.6,"Media",IF(AB41&lt;=0.8,"Alta","Muy Alta"))))),"")</f>
        <v>Baja</v>
      </c>
      <c r="AD41" s="124">
        <f t="shared" ref="AD41:AD45" si="49">+AB41</f>
        <v>0.24</v>
      </c>
      <c r="AE41" s="269" t="str">
        <f t="shared" ref="AE41:AE45" si="50">IFERROR(IF(AF41="","",IF(AF41&lt;=0.2,"Leve",IF(AF41&lt;=0.4,"Menor",IF(AF41&lt;=0.6,"Moderado",IF(AF41&lt;=0.8,"Mayor","Catastrófico"))))),"")</f>
        <v>Moderado</v>
      </c>
      <c r="AF41" s="264">
        <f>IFERROR(IF(U41="Impacto",(Q41-(+Q41*X41)),IF(U41="Probabilidad",Q41,"")),"")</f>
        <v>0.6</v>
      </c>
      <c r="AG41" s="265" t="str">
        <f t="shared" ref="AG41:AG45" si="51">IFERROR(IF(OR(AND(AC41="Muy Baja",AE41="Leve"),AND(AC41="Muy Baja",AE41="Menor"),AND(AC41="Baja",AE41="Leve")),"Bajo",IF(OR(AND(AC41="Muy baja",AE41="Moderado"),AND(AC41="Baja",AE41="Menor"),AND(AC41="Baja",AE41="Moderado"),AND(AC41="Media",AE41="Leve"),AND(AC41="Media",AE41="Menor"),AND(AC41="Media",AE41="Moderado"),AND(AC41="Alta",AE41="Leve"),AND(AC41="Alta",AE41="Menor")),"Moderado",IF(OR(AND(AC41="Muy Baja",AE41="Mayor"),AND(AC41="Baja",AE41="Mayor"),AND(AC41="Media",AE41="Mayor"),AND(AC41="Alta",AE41="Moderado"),AND(AC41="Alta",AE41="Mayor"),AND(AC41="Muy Alta",AE41="Leve"),AND(AC41="Muy Alta",AE41="Menor"),AND(AC41="Muy Alta",AE41="Moderado"),AND(AC41="Muy Alta",AE41="Mayor")),"Alto",IF(OR(AND(AC41="Muy Baja",AE41="Catastrófico"),AND(AC41="Baja",AE41="Catastrófico"),AND(AC41="Media",AE41="Catastrófico"),AND(AC41="Alta",AE41="Catastrófico"),AND(AC41="Muy Alta",AE41="Catastrófico")),"Extremo","")))),"")</f>
        <v>Moderado</v>
      </c>
      <c r="AH41" s="266" t="s">
        <v>296</v>
      </c>
      <c r="AI41" s="466" t="s">
        <v>586</v>
      </c>
      <c r="AJ41" s="275" t="s">
        <v>30</v>
      </c>
      <c r="AK41" s="156" t="s">
        <v>589</v>
      </c>
      <c r="AL41" s="189" t="s">
        <v>220</v>
      </c>
      <c r="AM41" s="278"/>
      <c r="AN41" s="277" t="s">
        <v>165</v>
      </c>
      <c r="AO41" s="468"/>
      <c r="AP41" s="468"/>
      <c r="AQ41" s="468"/>
      <c r="AR41" s="277" t="s">
        <v>208</v>
      </c>
      <c r="AS41" s="277"/>
      <c r="AT41" s="277" t="s">
        <v>208</v>
      </c>
      <c r="AU41" s="277" t="s">
        <v>208</v>
      </c>
      <c r="AV41" s="277" t="s">
        <v>208</v>
      </c>
      <c r="AW41" s="26"/>
      <c r="AX41" s="26"/>
      <c r="AY41" s="26"/>
      <c r="AZ41" s="26"/>
      <c r="BA41" s="26"/>
      <c r="BB41" s="26"/>
      <c r="BC41" s="26"/>
      <c r="BD41" s="26"/>
      <c r="BE41" s="26"/>
      <c r="BF41" s="26"/>
      <c r="BG41" s="26"/>
      <c r="BH41" s="26"/>
      <c r="BI41" s="26"/>
      <c r="BJ41" s="26"/>
      <c r="BK41" s="26"/>
      <c r="BL41" s="26"/>
      <c r="BM41" s="26"/>
      <c r="BN41" s="26"/>
      <c r="BO41" s="26"/>
      <c r="BP41" s="26"/>
      <c r="BQ41" s="26"/>
      <c r="BR41" s="26"/>
      <c r="BS41" s="26"/>
      <c r="BT41" s="26"/>
    </row>
    <row r="42" spans="1:72" s="3" customFormat="1" ht="122.25" customHeight="1" x14ac:dyDescent="0.25">
      <c r="A42" s="628"/>
      <c r="B42" s="496"/>
      <c r="C42" s="496"/>
      <c r="D42" s="493"/>
      <c r="E42" s="525"/>
      <c r="F42" s="427"/>
      <c r="G42" s="427"/>
      <c r="H42" s="427"/>
      <c r="I42" s="427"/>
      <c r="J42" s="427"/>
      <c r="K42" s="424"/>
      <c r="L42" s="429"/>
      <c r="M42" s="431"/>
      <c r="N42" s="473"/>
      <c r="O42" s="431"/>
      <c r="P42" s="429"/>
      <c r="Q42" s="431"/>
      <c r="R42" s="486"/>
      <c r="S42" s="154">
        <v>2</v>
      </c>
      <c r="T42" s="155" t="s">
        <v>300</v>
      </c>
      <c r="U42" s="260" t="str">
        <f t="shared" si="46"/>
        <v>Probabilidad</v>
      </c>
      <c r="V42" s="261" t="s">
        <v>155</v>
      </c>
      <c r="W42" s="261" t="s">
        <v>156</v>
      </c>
      <c r="X42" s="262" t="str">
        <f t="shared" si="47"/>
        <v>40%</v>
      </c>
      <c r="Y42" s="261" t="s">
        <v>157</v>
      </c>
      <c r="Z42" s="261" t="s">
        <v>158</v>
      </c>
      <c r="AA42" s="261" t="s">
        <v>159</v>
      </c>
      <c r="AB42" s="263">
        <f t="shared" ref="AB42" si="52">IFERROR(IF(U42="Probabilidad",(AB41-(+AB41*X42)),IF(U42="Impacto",M41,"")),"")</f>
        <v>0.14399999999999999</v>
      </c>
      <c r="AC42" s="269" t="str">
        <f t="shared" si="48"/>
        <v>Muy Baja</v>
      </c>
      <c r="AD42" s="124">
        <f t="shared" si="49"/>
        <v>0.14399999999999999</v>
      </c>
      <c r="AE42" s="269" t="str">
        <f t="shared" si="50"/>
        <v>Moderado</v>
      </c>
      <c r="AF42" s="264">
        <f t="shared" ref="AF42" si="53">IFERROR(IF(U42="Impacto",(Q41-(+Q41*X42)),IF(U42="Probabilidad",Q41,"")),"")</f>
        <v>0.6</v>
      </c>
      <c r="AG42" s="265" t="str">
        <f t="shared" si="51"/>
        <v>Moderado</v>
      </c>
      <c r="AH42" s="266" t="s">
        <v>296</v>
      </c>
      <c r="AI42" s="427"/>
      <c r="AJ42" s="275" t="s">
        <v>30</v>
      </c>
      <c r="AK42" s="156" t="s">
        <v>589</v>
      </c>
      <c r="AL42" s="189" t="s">
        <v>220</v>
      </c>
      <c r="AM42" s="260"/>
      <c r="AN42" s="277" t="s">
        <v>165</v>
      </c>
      <c r="AO42" s="425"/>
      <c r="AP42" s="425"/>
      <c r="AQ42" s="425"/>
      <c r="AR42" s="277" t="s">
        <v>208</v>
      </c>
      <c r="AS42" s="277"/>
      <c r="AT42" s="277" t="s">
        <v>208</v>
      </c>
      <c r="AU42" s="277" t="s">
        <v>208</v>
      </c>
      <c r="AV42" s="277" t="s">
        <v>208</v>
      </c>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row>
    <row r="43" spans="1:72" s="3" customFormat="1" ht="114" customHeight="1" x14ac:dyDescent="0.25">
      <c r="A43" s="628"/>
      <c r="B43" s="496"/>
      <c r="C43" s="496"/>
      <c r="D43" s="493"/>
      <c r="E43" s="633">
        <v>3</v>
      </c>
      <c r="F43" s="466" t="s">
        <v>172</v>
      </c>
      <c r="G43" s="466" t="s">
        <v>552</v>
      </c>
      <c r="H43" s="466" t="s">
        <v>553</v>
      </c>
      <c r="I43" s="466" t="s">
        <v>551</v>
      </c>
      <c r="J43" s="466" t="s">
        <v>568</v>
      </c>
      <c r="K43" s="556">
        <v>350</v>
      </c>
      <c r="L43" s="428" t="str">
        <f>IF(K43&lt;=0,"",IF(K43&lt;=2,"Muy Baja",IF(K43&lt;=24,"Baja",IF(K43&lt;=500,"Media",IF(K43&lt;=5000,"Alta","Muy Alta")))))</f>
        <v>Media</v>
      </c>
      <c r="M43" s="430">
        <f>IF(L43="","",IF(L43="Muy Baja",0.2,IF(L43="Baja",0.4,IF(L43="Media",0.6,IF(L43="Alta",0.8,IF(L43="Muy Alta",1,))))))</f>
        <v>0.6</v>
      </c>
      <c r="N43" s="473" t="s">
        <v>416</v>
      </c>
      <c r="O43" s="430" t="str">
        <f>IF(NOT(ISERROR(MATCH(N43,'[5]Tabla Impacto'!$B$221:$B$223,0))),'[5]Tabla Impacto'!$F$223&amp;"Por favor no seleccionar los criterios de impacto(Afectación Económica o presupuestal y Pérdida Reputacional)",N43)</f>
        <v xml:space="preserve">     Entre 10 y 50 SMLMV </v>
      </c>
      <c r="P43" s="428" t="s">
        <v>305</v>
      </c>
      <c r="Q43" s="430">
        <f>IF(P43="","",IF(P43="Leve",0.2,IF(P43="Menor",0.4,IF(P43="Moderado",0.6,IF(P43="Mayor",0.8,IF(P43="Catastrófico",1,))))))</f>
        <v>0.6</v>
      </c>
      <c r="R43" s="484" t="str">
        <f>IF(OR(AND(L43="Muy Baja",P43="Leve"),AND(L43="Muy Baja",P43="Menor"),AND(L43="Baja",P43="Leve")),"Bajo",IF(OR(AND(L43="Muy baja",P43="Moderado"),AND(L43="Baja",P43="Menor"),AND(L43="Baja",P43="Moderado"),AND(L43="Media",P43="Leve"),AND(L43="Media",P43="Menor"),AND(L43="Media",P43="Moderado"),AND(L43="Alta",P43="Leve"),AND(L43="Alta",P43="Menor")),"Moderado",IF(OR(AND(L43="Muy Baja",P43="Mayor"),AND(L43="Baja",P43="Mayor"),AND(L43="Media",P43="Mayor"),AND(L43="Alta",P43="Moderado"),AND(L43="Alta",P43="Mayor"),AND(L43="Muy Alta",P43="Leve"),AND(L43="Muy Alta",P43="Menor"),AND(L43="Muy Alta",P43="Moderado"),AND(L43="Muy Alta",P43="Mayor")),"Alto",IF(OR(AND(L43="Muy Baja",P43="Catastrófico"),AND(L43="Baja",P43="Catastrófico"),AND(L43="Media",P43="Catastrófico"),AND(L43="Alta",P43="Catastrófico"),AND(L43="Muy Alta",P43="Catastrófico")),"Extremo",""))))</f>
        <v>Moderado</v>
      </c>
      <c r="S43" s="154">
        <v>1</v>
      </c>
      <c r="T43" s="155" t="s">
        <v>588</v>
      </c>
      <c r="U43" s="260" t="s">
        <v>154</v>
      </c>
      <c r="V43" s="261" t="s">
        <v>155</v>
      </c>
      <c r="W43" s="261" t="s">
        <v>156</v>
      </c>
      <c r="X43" s="262" t="str">
        <f t="shared" si="47"/>
        <v>40%</v>
      </c>
      <c r="Y43" s="261" t="s">
        <v>157</v>
      </c>
      <c r="Z43" s="261" t="s">
        <v>158</v>
      </c>
      <c r="AA43" s="261" t="s">
        <v>159</v>
      </c>
      <c r="AB43" s="263">
        <f>IFERROR(IF(U43="Probabilidad",(M43-(+M43*X43)),IF(U43="Impacto",M43,"")),"")</f>
        <v>0.36</v>
      </c>
      <c r="AC43" s="269" t="str">
        <f t="shared" si="48"/>
        <v>Baja</v>
      </c>
      <c r="AD43" s="124">
        <f t="shared" si="49"/>
        <v>0.36</v>
      </c>
      <c r="AE43" s="269" t="str">
        <f t="shared" si="50"/>
        <v>Moderado</v>
      </c>
      <c r="AF43" s="264">
        <f>IFERROR(IF(U43="Impacto",(Q43-(+Q43*X43)),IF(U43="Probabilidad",Q43,"")),"")</f>
        <v>0.6</v>
      </c>
      <c r="AG43" s="265" t="str">
        <f t="shared" si="51"/>
        <v>Moderado</v>
      </c>
      <c r="AH43" s="266" t="s">
        <v>296</v>
      </c>
      <c r="AI43" s="466" t="s">
        <v>585</v>
      </c>
      <c r="AJ43" s="275" t="s">
        <v>30</v>
      </c>
      <c r="AK43" s="156" t="s">
        <v>589</v>
      </c>
      <c r="AL43" s="189" t="s">
        <v>306</v>
      </c>
      <c r="AM43" s="278"/>
      <c r="AN43" s="277" t="s">
        <v>165</v>
      </c>
      <c r="AO43" s="468"/>
      <c r="AP43" s="468"/>
      <c r="AQ43" s="468"/>
      <c r="AR43" s="277" t="s">
        <v>208</v>
      </c>
      <c r="AS43" s="277"/>
      <c r="AT43" s="277" t="s">
        <v>208</v>
      </c>
      <c r="AU43" s="277"/>
      <c r="AV43" s="277" t="s">
        <v>208</v>
      </c>
      <c r="AW43" s="26"/>
      <c r="AX43" s="341"/>
      <c r="AY43" s="341"/>
      <c r="AZ43" s="341"/>
      <c r="BA43" s="341"/>
      <c r="BB43" s="341"/>
      <c r="BC43" s="341"/>
      <c r="BD43" s="341"/>
      <c r="BE43" s="341"/>
      <c r="BF43" s="341"/>
      <c r="BG43" s="341"/>
      <c r="BH43" s="341"/>
      <c r="BI43" s="341"/>
      <c r="BJ43" s="26"/>
      <c r="BK43" s="26"/>
      <c r="BL43" s="26"/>
      <c r="BM43" s="26"/>
      <c r="BN43" s="26"/>
      <c r="BO43" s="26"/>
      <c r="BP43" s="26"/>
      <c r="BQ43" s="26"/>
      <c r="BR43" s="26"/>
      <c r="BS43" s="26"/>
      <c r="BT43" s="26"/>
    </row>
    <row r="44" spans="1:72" s="3" customFormat="1" ht="114" customHeight="1" x14ac:dyDescent="0.25">
      <c r="A44" s="628"/>
      <c r="B44" s="496"/>
      <c r="C44" s="496"/>
      <c r="D44" s="493"/>
      <c r="E44" s="634"/>
      <c r="F44" s="426"/>
      <c r="G44" s="426"/>
      <c r="H44" s="426"/>
      <c r="I44" s="426"/>
      <c r="J44" s="426"/>
      <c r="K44" s="557"/>
      <c r="L44" s="483"/>
      <c r="M44" s="481"/>
      <c r="N44" s="473"/>
      <c r="O44" s="481"/>
      <c r="P44" s="483"/>
      <c r="Q44" s="481"/>
      <c r="R44" s="498"/>
      <c r="S44" s="154">
        <v>2</v>
      </c>
      <c r="T44" s="155" t="s">
        <v>307</v>
      </c>
      <c r="U44" s="260" t="s">
        <v>154</v>
      </c>
      <c r="V44" s="261" t="s">
        <v>155</v>
      </c>
      <c r="W44" s="261" t="s">
        <v>156</v>
      </c>
      <c r="X44" s="262" t="str">
        <f t="shared" si="47"/>
        <v>40%</v>
      </c>
      <c r="Y44" s="261" t="s">
        <v>157</v>
      </c>
      <c r="Z44" s="261" t="s">
        <v>158</v>
      </c>
      <c r="AA44" s="261" t="s">
        <v>159</v>
      </c>
      <c r="AB44" s="263">
        <f>IFERROR(IF(U44="Probabilidad",(AB43-(+AB43*X44)),IF(U44="Impacto",M43,"")),"")</f>
        <v>0.216</v>
      </c>
      <c r="AC44" s="269" t="str">
        <f t="shared" si="48"/>
        <v>Baja</v>
      </c>
      <c r="AD44" s="124">
        <f t="shared" si="49"/>
        <v>0.216</v>
      </c>
      <c r="AE44" s="269" t="str">
        <f t="shared" si="50"/>
        <v>Moderado</v>
      </c>
      <c r="AF44" s="264">
        <f t="shared" ref="AF44" si="54">IFERROR(IF(U44="Impacto",(Q43-(+Q43*X44)),IF(U44="Probabilidad",Q43,"")),"")</f>
        <v>0.6</v>
      </c>
      <c r="AG44" s="265" t="str">
        <f t="shared" si="51"/>
        <v>Moderado</v>
      </c>
      <c r="AH44" s="266" t="s">
        <v>160</v>
      </c>
      <c r="AI44" s="426"/>
      <c r="AJ44" s="275" t="s">
        <v>30</v>
      </c>
      <c r="AK44" s="156" t="s">
        <v>589</v>
      </c>
      <c r="AL44" s="189" t="s">
        <v>220</v>
      </c>
      <c r="AM44" s="278"/>
      <c r="AN44" s="277" t="s">
        <v>165</v>
      </c>
      <c r="AO44" s="424"/>
      <c r="AP44" s="424"/>
      <c r="AQ44" s="424"/>
      <c r="AR44" s="277" t="s">
        <v>208</v>
      </c>
      <c r="AS44" s="277"/>
      <c r="AT44" s="277" t="s">
        <v>208</v>
      </c>
      <c r="AU44" s="277"/>
      <c r="AV44" s="277" t="s">
        <v>208</v>
      </c>
      <c r="AW44" s="26"/>
      <c r="AX44" s="341"/>
      <c r="AY44" s="341"/>
      <c r="AZ44" s="341"/>
      <c r="BA44" s="341"/>
      <c r="BB44" s="341"/>
      <c r="BC44" s="341"/>
      <c r="BD44" s="341"/>
      <c r="BE44" s="341"/>
      <c r="BF44" s="341"/>
      <c r="BG44" s="341"/>
      <c r="BH44" s="341"/>
      <c r="BI44" s="341"/>
      <c r="BJ44" s="26"/>
      <c r="BK44" s="26"/>
      <c r="BL44" s="26"/>
      <c r="BM44" s="26"/>
      <c r="BN44" s="26"/>
      <c r="BO44" s="26"/>
      <c r="BP44" s="26"/>
      <c r="BQ44" s="26"/>
      <c r="BR44" s="26"/>
      <c r="BS44" s="26"/>
      <c r="BT44" s="26"/>
    </row>
    <row r="45" spans="1:72" s="3" customFormat="1" ht="114" customHeight="1" x14ac:dyDescent="0.25">
      <c r="A45" s="628"/>
      <c r="B45" s="496"/>
      <c r="C45" s="496"/>
      <c r="D45" s="493"/>
      <c r="E45" s="635"/>
      <c r="F45" s="427"/>
      <c r="G45" s="427"/>
      <c r="H45" s="427"/>
      <c r="I45" s="427"/>
      <c r="J45" s="427"/>
      <c r="K45" s="558"/>
      <c r="L45" s="429"/>
      <c r="M45" s="431"/>
      <c r="N45" s="482"/>
      <c r="O45" s="431"/>
      <c r="P45" s="429"/>
      <c r="Q45" s="431"/>
      <c r="R45" s="486"/>
      <c r="S45" s="157">
        <v>3</v>
      </c>
      <c r="T45" s="155" t="s">
        <v>308</v>
      </c>
      <c r="U45" s="260" t="s">
        <v>154</v>
      </c>
      <c r="V45" s="261" t="s">
        <v>169</v>
      </c>
      <c r="W45" s="261" t="s">
        <v>156</v>
      </c>
      <c r="X45" s="262" t="str">
        <f t="shared" si="47"/>
        <v>30%</v>
      </c>
      <c r="Y45" s="261" t="s">
        <v>157</v>
      </c>
      <c r="Z45" s="261" t="s">
        <v>158</v>
      </c>
      <c r="AA45" s="261" t="s">
        <v>159</v>
      </c>
      <c r="AB45" s="263">
        <f>IFERROR(IF(U45="Probabilidad",(AB44-(+AB44*X45)),IF(U45="Impacto",M44,"")),"")</f>
        <v>0.1512</v>
      </c>
      <c r="AC45" s="269" t="str">
        <f t="shared" si="48"/>
        <v>Muy Baja</v>
      </c>
      <c r="AD45" s="124">
        <f t="shared" si="49"/>
        <v>0.1512</v>
      </c>
      <c r="AE45" s="269" t="str">
        <f t="shared" si="50"/>
        <v>Moderado</v>
      </c>
      <c r="AF45" s="264">
        <f>IFERROR(IF(U45="Impacto",(Q43-(+Q43*X45)),IF(U45="Probabilidad",Q43,"")),"")</f>
        <v>0.6</v>
      </c>
      <c r="AG45" s="265" t="str">
        <f t="shared" si="51"/>
        <v>Moderado</v>
      </c>
      <c r="AH45" s="266" t="s">
        <v>160</v>
      </c>
      <c r="AI45" s="427"/>
      <c r="AJ45" s="275" t="s">
        <v>30</v>
      </c>
      <c r="AK45" s="156" t="s">
        <v>589</v>
      </c>
      <c r="AL45" s="189" t="s">
        <v>306</v>
      </c>
      <c r="AM45" s="260"/>
      <c r="AN45" s="277" t="s">
        <v>165</v>
      </c>
      <c r="AO45" s="425"/>
      <c r="AP45" s="425"/>
      <c r="AQ45" s="425"/>
      <c r="AR45" s="277" t="s">
        <v>208</v>
      </c>
      <c r="AS45" s="277"/>
      <c r="AT45" s="277" t="s">
        <v>208</v>
      </c>
      <c r="AU45" s="277"/>
      <c r="AV45" s="277" t="s">
        <v>208</v>
      </c>
      <c r="AW45" s="26"/>
      <c r="AX45" s="341"/>
      <c r="AY45" s="341"/>
      <c r="AZ45" s="341"/>
      <c r="BA45" s="341"/>
      <c r="BB45" s="341"/>
      <c r="BC45" s="341"/>
      <c r="BD45" s="341"/>
      <c r="BE45" s="341"/>
      <c r="BF45" s="341"/>
      <c r="BG45" s="341"/>
      <c r="BH45" s="341"/>
      <c r="BI45" s="341"/>
      <c r="BJ45" s="26"/>
      <c r="BK45" s="26"/>
      <c r="BL45" s="26"/>
      <c r="BM45" s="26"/>
      <c r="BN45" s="26"/>
      <c r="BO45" s="26"/>
      <c r="BP45" s="26"/>
      <c r="BQ45" s="26"/>
      <c r="BR45" s="26"/>
      <c r="BS45" s="26"/>
      <c r="BT45" s="26"/>
    </row>
    <row r="46" spans="1:72" s="3" customFormat="1" ht="96" customHeight="1" x14ac:dyDescent="0.25">
      <c r="A46" s="628"/>
      <c r="B46" s="496"/>
      <c r="C46" s="496"/>
      <c r="D46" s="493"/>
      <c r="E46" s="633">
        <v>4</v>
      </c>
      <c r="F46" s="466" t="s">
        <v>223</v>
      </c>
      <c r="G46" s="466" t="s">
        <v>301</v>
      </c>
      <c r="H46" s="466" t="s">
        <v>302</v>
      </c>
      <c r="I46" s="466" t="s">
        <v>303</v>
      </c>
      <c r="J46" s="466" t="s">
        <v>151</v>
      </c>
      <c r="K46" s="556">
        <f>20*12</f>
        <v>240</v>
      </c>
      <c r="L46" s="428" t="str">
        <f>IF(K46&lt;=0,"",IF(K46&lt;=2,"Muy Baja",IF(K46&lt;=24,"Baja",IF(K46&lt;=500,"Media",IF(K46&lt;=5000,"Alta","Muy Alta")))))</f>
        <v>Media</v>
      </c>
      <c r="M46" s="430">
        <f>IF(L46="","",IF(L46="Muy Baja",0.2,IF(L46="Baja",0.4,IF(L46="Media",0.6,IF(L46="Alta",0.8,IF(L46="Muy Alta",1,))))))</f>
        <v>0.6</v>
      </c>
      <c r="N46" s="473" t="s">
        <v>304</v>
      </c>
      <c r="O46" s="430" t="str">
        <f>IF(NOT(ISERROR(MATCH(N46,'[5]Tabla Impacto'!$B$221:$B$223,0))),'[5]Tabla Impacto'!$F$223&amp;"Por favor no seleccionar los criterios de impacto(Afectación Económica o presupuestal y Pérdida Reputacional)",N46)</f>
        <v xml:space="preserve">     El riesgo afecta la imagen de la entidad internamente, de conocimiento general, nivel interno, de junta directiva y accionistas y/o de proveedores</v>
      </c>
      <c r="P46" s="428" t="s">
        <v>305</v>
      </c>
      <c r="Q46" s="430">
        <f>IF(P46="","",IF(P46="Leve",0.2,IF(P46="Menor",0.4,IF(P46="Moderado",0.6,IF(P46="Mayor",0.8,IF(P46="Catastrófico",1,))))))</f>
        <v>0.6</v>
      </c>
      <c r="R46" s="484" t="str">
        <f>IF(OR(AND(L46="Muy Baja",P46="Leve"),AND(L46="Muy Baja",P46="Menor"),AND(L46="Baja",P46="Leve")),"Bajo",IF(OR(AND(L46="Muy baja",P46="Moderado"),AND(L46="Baja",P46="Menor"),AND(L46="Baja",P46="Moderado"),AND(L46="Media",P46="Leve"),AND(L46="Media",P46="Menor"),AND(L46="Media",P46="Moderado"),AND(L46="Alta",P46="Leve"),AND(L46="Alta",P46="Menor")),"Moderado",IF(OR(AND(L46="Muy Baja",P46="Mayor"),AND(L46="Baja",P46="Mayor"),AND(L46="Media",P46="Mayor"),AND(L46="Alta",P46="Moderado"),AND(L46="Alta",P46="Mayor"),AND(L46="Muy Alta",P46="Leve"),AND(L46="Muy Alta",P46="Menor"),AND(L46="Muy Alta",P46="Moderado"),AND(L46="Muy Alta",P46="Mayor")),"Alto",IF(OR(AND(L46="Muy Baja",P46="Catastrófico"),AND(L46="Baja",P46="Catastrófico"),AND(L46="Media",P46="Catastrófico"),AND(L46="Alta",P46="Catastrófico"),AND(L46="Muy Alta",P46="Catastrófico")),"Extremo",""))))</f>
        <v>Moderado</v>
      </c>
      <c r="S46" s="154">
        <v>1</v>
      </c>
      <c r="T46" s="155" t="s">
        <v>588</v>
      </c>
      <c r="U46" s="260" t="s">
        <v>154</v>
      </c>
      <c r="V46" s="261" t="s">
        <v>155</v>
      </c>
      <c r="W46" s="261" t="s">
        <v>156</v>
      </c>
      <c r="X46" s="262" t="str">
        <f t="shared" ref="X46:X48" si="55">IF(AND(V46="Preventivo",W46="Automático"),"50%",IF(AND(V46="Preventivo",W46="Manual"),"40%",IF(AND(V46="Detectivo",W46="Automático"),"40%",IF(AND(V46="Detectivo",W46="Manual"),"30%",IF(AND(V46="Correctivo",W46="Automático"),"35%",IF(AND(V46="Correctivo",W46="Manual"),"25%",""))))))</f>
        <v>40%</v>
      </c>
      <c r="Y46" s="261" t="s">
        <v>157</v>
      </c>
      <c r="Z46" s="261" t="s">
        <v>158</v>
      </c>
      <c r="AA46" s="261" t="s">
        <v>159</v>
      </c>
      <c r="AB46" s="263">
        <f>IFERROR(IF(U46="Probabilidad",(M46-(+M46*X46)),IF(U46="Impacto",M46,"")),"")</f>
        <v>0.36</v>
      </c>
      <c r="AC46" s="269" t="str">
        <f t="shared" ref="AC46:AC48" si="56">IFERROR(IF(AB46="","",IF(AB46&lt;=0.2,"Muy Baja",IF(AB46&lt;=0.4,"Baja",IF(AB46&lt;=0.6,"Media",IF(AB46&lt;=0.8,"Alta","Muy Alta"))))),"")</f>
        <v>Baja</v>
      </c>
      <c r="AD46" s="124">
        <f t="shared" ref="AD46:AD48" si="57">+AB46</f>
        <v>0.36</v>
      </c>
      <c r="AE46" s="269" t="str">
        <f t="shared" ref="AE46:AE48" si="58">IFERROR(IF(AF46="","",IF(AF46&lt;=0.2,"Leve",IF(AF46&lt;=0.4,"Menor",IF(AF46&lt;=0.6,"Moderado",IF(AF46&lt;=0.8,"Mayor","Catastrófico"))))),"")</f>
        <v>Moderado</v>
      </c>
      <c r="AF46" s="264">
        <f>IFERROR(IF(U46="Impacto",(Q46-(+Q46*X46)),IF(U46="Probabilidad",Q46,"")),"")</f>
        <v>0.6</v>
      </c>
      <c r="AG46" s="265" t="str">
        <f t="shared" ref="AG46:AG48" si="59">IFERROR(IF(OR(AND(AC46="Muy Baja",AE46="Leve"),AND(AC46="Muy Baja",AE46="Menor"),AND(AC46="Baja",AE46="Leve")),"Bajo",IF(OR(AND(AC46="Muy baja",AE46="Moderado"),AND(AC46="Baja",AE46="Menor"),AND(AC46="Baja",AE46="Moderado"),AND(AC46="Media",AE46="Leve"),AND(AC46="Media",AE46="Menor"),AND(AC46="Media",AE46="Moderado"),AND(AC46="Alta",AE46="Leve"),AND(AC46="Alta",AE46="Menor")),"Moderado",IF(OR(AND(AC46="Muy Baja",AE46="Mayor"),AND(AC46="Baja",AE46="Mayor"),AND(AC46="Media",AE46="Mayor"),AND(AC46="Alta",AE46="Moderado"),AND(AC46="Alta",AE46="Mayor"),AND(AC46="Muy Alta",AE46="Leve"),AND(AC46="Muy Alta",AE46="Menor"),AND(AC46="Muy Alta",AE46="Moderado"),AND(AC46="Muy Alta",AE46="Mayor")),"Alto",IF(OR(AND(AC46="Muy Baja",AE46="Catastrófico"),AND(AC46="Baja",AE46="Catastrófico"),AND(AC46="Media",AE46="Catastrófico"),AND(AC46="Alta",AE46="Catastrófico"),AND(AC46="Muy Alta",AE46="Catastrófico")),"Extremo","")))),"")</f>
        <v>Moderado</v>
      </c>
      <c r="AH46" s="266" t="s">
        <v>296</v>
      </c>
      <c r="AI46" s="466" t="s">
        <v>585</v>
      </c>
      <c r="AJ46" s="275" t="s">
        <v>30</v>
      </c>
      <c r="AK46" s="156" t="s">
        <v>589</v>
      </c>
      <c r="AL46" s="189" t="s">
        <v>306</v>
      </c>
      <c r="AM46" s="278"/>
      <c r="AN46" s="277" t="s">
        <v>165</v>
      </c>
      <c r="AO46" s="468"/>
      <c r="AP46" s="468"/>
      <c r="AQ46" s="468"/>
      <c r="AR46" s="277" t="s">
        <v>208</v>
      </c>
      <c r="AS46" s="277"/>
      <c r="AT46" s="277" t="s">
        <v>208</v>
      </c>
      <c r="AU46" s="277"/>
      <c r="AV46" s="277" t="s">
        <v>208</v>
      </c>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row>
    <row r="47" spans="1:72" s="3" customFormat="1" ht="102.75" customHeight="1" x14ac:dyDescent="0.25">
      <c r="A47" s="628"/>
      <c r="B47" s="496"/>
      <c r="C47" s="496"/>
      <c r="D47" s="493"/>
      <c r="E47" s="634"/>
      <c r="F47" s="426"/>
      <c r="G47" s="426"/>
      <c r="H47" s="426"/>
      <c r="I47" s="426"/>
      <c r="J47" s="426"/>
      <c r="K47" s="557"/>
      <c r="L47" s="483"/>
      <c r="M47" s="481"/>
      <c r="N47" s="473"/>
      <c r="O47" s="481"/>
      <c r="P47" s="483"/>
      <c r="Q47" s="481"/>
      <c r="R47" s="498"/>
      <c r="S47" s="154">
        <v>2</v>
      </c>
      <c r="T47" s="155" t="s">
        <v>307</v>
      </c>
      <c r="U47" s="260" t="s">
        <v>154</v>
      </c>
      <c r="V47" s="261" t="s">
        <v>155</v>
      </c>
      <c r="W47" s="261" t="s">
        <v>156</v>
      </c>
      <c r="X47" s="262" t="str">
        <f t="shared" si="55"/>
        <v>40%</v>
      </c>
      <c r="Y47" s="261" t="s">
        <v>157</v>
      </c>
      <c r="Z47" s="261" t="s">
        <v>158</v>
      </c>
      <c r="AA47" s="261" t="s">
        <v>159</v>
      </c>
      <c r="AB47" s="263">
        <f>IFERROR(IF(U47="Probabilidad",(AB46-(+AB46*X47)),IF(U47="Impacto",M46,"")),"")</f>
        <v>0.216</v>
      </c>
      <c r="AC47" s="269" t="str">
        <f t="shared" si="56"/>
        <v>Baja</v>
      </c>
      <c r="AD47" s="124">
        <f t="shared" si="57"/>
        <v>0.216</v>
      </c>
      <c r="AE47" s="269" t="str">
        <f t="shared" si="58"/>
        <v>Moderado</v>
      </c>
      <c r="AF47" s="264">
        <f t="shared" ref="AF47" si="60">IFERROR(IF(U47="Impacto",(Q46-(+Q46*X47)),IF(U47="Probabilidad",Q46,"")),"")</f>
        <v>0.6</v>
      </c>
      <c r="AG47" s="265" t="str">
        <f t="shared" si="59"/>
        <v>Moderado</v>
      </c>
      <c r="AH47" s="266" t="s">
        <v>160</v>
      </c>
      <c r="AI47" s="426"/>
      <c r="AJ47" s="275" t="s">
        <v>30</v>
      </c>
      <c r="AK47" s="156" t="s">
        <v>589</v>
      </c>
      <c r="AL47" s="189" t="s">
        <v>220</v>
      </c>
      <c r="AM47" s="278"/>
      <c r="AN47" s="277" t="s">
        <v>165</v>
      </c>
      <c r="AO47" s="424"/>
      <c r="AP47" s="424"/>
      <c r="AQ47" s="424"/>
      <c r="AR47" s="277" t="s">
        <v>208</v>
      </c>
      <c r="AS47" s="277"/>
      <c r="AT47" s="277" t="s">
        <v>208</v>
      </c>
      <c r="AU47" s="277"/>
      <c r="AV47" s="277" t="s">
        <v>208</v>
      </c>
      <c r="AW47" s="26"/>
      <c r="AX47" s="26"/>
      <c r="AY47" s="26"/>
      <c r="AZ47" s="26"/>
      <c r="BA47" s="26"/>
      <c r="BB47" s="26"/>
      <c r="BC47" s="26"/>
      <c r="BD47" s="26"/>
      <c r="BE47" s="26"/>
      <c r="BF47" s="26"/>
      <c r="BG47" s="26"/>
      <c r="BH47" s="26"/>
      <c r="BI47" s="26"/>
      <c r="BJ47" s="26"/>
      <c r="BK47" s="26"/>
      <c r="BL47" s="26"/>
      <c r="BM47" s="26"/>
      <c r="BN47" s="26"/>
      <c r="BO47" s="26"/>
      <c r="BP47" s="26"/>
      <c r="BQ47" s="26"/>
      <c r="BR47" s="26"/>
      <c r="BS47" s="26"/>
      <c r="BT47" s="26"/>
    </row>
    <row r="48" spans="1:72" s="3" customFormat="1" ht="105.75" customHeight="1" x14ac:dyDescent="0.25">
      <c r="A48" s="629"/>
      <c r="B48" s="527"/>
      <c r="C48" s="528"/>
      <c r="D48" s="493"/>
      <c r="E48" s="635"/>
      <c r="F48" s="427"/>
      <c r="G48" s="427"/>
      <c r="H48" s="427"/>
      <c r="I48" s="427"/>
      <c r="J48" s="427"/>
      <c r="K48" s="558"/>
      <c r="L48" s="429"/>
      <c r="M48" s="431"/>
      <c r="N48" s="482"/>
      <c r="O48" s="431"/>
      <c r="P48" s="429"/>
      <c r="Q48" s="431"/>
      <c r="R48" s="486"/>
      <c r="S48" s="157">
        <v>3</v>
      </c>
      <c r="T48" s="155" t="s">
        <v>308</v>
      </c>
      <c r="U48" s="260" t="s">
        <v>154</v>
      </c>
      <c r="V48" s="261" t="s">
        <v>169</v>
      </c>
      <c r="W48" s="261" t="s">
        <v>156</v>
      </c>
      <c r="X48" s="262" t="str">
        <f t="shared" si="55"/>
        <v>30%</v>
      </c>
      <c r="Y48" s="261" t="s">
        <v>157</v>
      </c>
      <c r="Z48" s="261" t="s">
        <v>158</v>
      </c>
      <c r="AA48" s="261" t="s">
        <v>159</v>
      </c>
      <c r="AB48" s="263">
        <f>IFERROR(IF(U48="Probabilidad",(AB47-(+AB47*X48)),IF(U48="Impacto",M47,"")),"")</f>
        <v>0.1512</v>
      </c>
      <c r="AC48" s="269" t="str">
        <f t="shared" si="56"/>
        <v>Muy Baja</v>
      </c>
      <c r="AD48" s="124">
        <f t="shared" si="57"/>
        <v>0.1512</v>
      </c>
      <c r="AE48" s="269" t="str">
        <f t="shared" si="58"/>
        <v>Moderado</v>
      </c>
      <c r="AF48" s="264">
        <f>IFERROR(IF(U48="Impacto",(Q46-(+Q46*X48)),IF(U48="Probabilidad",Q46,"")),"")</f>
        <v>0.6</v>
      </c>
      <c r="AG48" s="265" t="str">
        <f t="shared" si="59"/>
        <v>Moderado</v>
      </c>
      <c r="AH48" s="266" t="s">
        <v>160</v>
      </c>
      <c r="AI48" s="427"/>
      <c r="AJ48" s="275" t="s">
        <v>30</v>
      </c>
      <c r="AK48" s="156" t="s">
        <v>589</v>
      </c>
      <c r="AL48" s="189" t="s">
        <v>306</v>
      </c>
      <c r="AM48" s="260"/>
      <c r="AN48" s="277" t="s">
        <v>165</v>
      </c>
      <c r="AO48" s="425"/>
      <c r="AP48" s="425"/>
      <c r="AQ48" s="425"/>
      <c r="AR48" s="277" t="s">
        <v>208</v>
      </c>
      <c r="AS48" s="277"/>
      <c r="AT48" s="277" t="s">
        <v>208</v>
      </c>
      <c r="AU48" s="277"/>
      <c r="AV48" s="277" t="s">
        <v>208</v>
      </c>
      <c r="AW48" s="26"/>
      <c r="AX48" s="26"/>
      <c r="AY48" s="26"/>
      <c r="AZ48" s="26"/>
      <c r="BA48" s="26"/>
      <c r="BB48" s="26"/>
      <c r="BC48" s="26"/>
      <c r="BD48" s="26"/>
      <c r="BE48" s="26"/>
      <c r="BF48" s="26"/>
      <c r="BG48" s="26"/>
      <c r="BH48" s="26"/>
      <c r="BI48" s="26"/>
      <c r="BJ48" s="26"/>
      <c r="BK48" s="26"/>
      <c r="BL48" s="26"/>
      <c r="BM48" s="26"/>
      <c r="BN48" s="26"/>
      <c r="BO48" s="26"/>
      <c r="BP48" s="26"/>
      <c r="BQ48" s="26"/>
      <c r="BR48" s="26"/>
      <c r="BS48" s="26"/>
      <c r="BT48" s="26"/>
    </row>
    <row r="49" spans="1:72" s="3" customFormat="1" ht="216.75" customHeight="1" x14ac:dyDescent="0.25">
      <c r="A49" s="627" t="s">
        <v>17</v>
      </c>
      <c r="B49" s="526" t="s">
        <v>289</v>
      </c>
      <c r="C49" s="630" t="s">
        <v>290</v>
      </c>
      <c r="D49" s="520" t="s">
        <v>31</v>
      </c>
      <c r="E49" s="491">
        <v>1</v>
      </c>
      <c r="F49" s="426" t="s">
        <v>147</v>
      </c>
      <c r="G49" s="426" t="s">
        <v>309</v>
      </c>
      <c r="H49" s="426" t="s">
        <v>310</v>
      </c>
      <c r="I49" s="523" t="s">
        <v>311</v>
      </c>
      <c r="J49" s="466" t="s">
        <v>188</v>
      </c>
      <c r="K49" s="466">
        <v>3360</v>
      </c>
      <c r="L49" s="428" t="str">
        <f>IF(K49&lt;=0,"",IF(K49&lt;=2,"Muy Baja",IF(K49&lt;=24,"Baja",IF(K49&lt;=500,"Media",IF(K49&lt;=5000,"Alta","Muy Alta")))))</f>
        <v>Alta</v>
      </c>
      <c r="M49" s="430">
        <f>IF(L49="","",IF(L49="Muy Baja",0.2,IF(L49="Baja",0.4,IF(L49="Media",0.6,IF(L49="Alta",0.8,IF(L49="Muy Alta",1,))))))</f>
        <v>0.8</v>
      </c>
      <c r="N49" s="466" t="s">
        <v>227</v>
      </c>
      <c r="O49" s="466" t="str">
        <f ca="1">IF(NOT(ISERROR(MATCH(N49,_xlfn.ANCHORARRAY(I49),0))),M49&amp;"Por favor no seleccionar los criterios de impacto",N49)</f>
        <v xml:space="preserve">     Entre 50 y 100 SMLMV </v>
      </c>
      <c r="P49" s="428" t="str">
        <f ca="1">IF(OR(O49='[1]Tabla Impacto'!$C$11,O49='[1]Tabla Impacto'!$D$11),"Leve",IF(OR(O49='[1]Tabla Impacto'!$C$12,O49='[1]Tabla Impacto'!$D$12),"Menor",IF(OR(O49='[1]Tabla Impacto'!$C$13,O49='[1]Tabla Impacto'!$D$13),"Moderado",IF(OR(O49='[1]Tabla Impacto'!$C$14,O49='[1]Tabla Impacto'!$D$14),"Mayor",IF(OR(O49='[1]Tabla Impacto'!$C$15,O49='[1]Tabla Impacto'!$D$15),"Catastrófico","")))))</f>
        <v>Moderado</v>
      </c>
      <c r="Q49" s="430">
        <f ca="1">IF(P49="","",IF(P49="Leve",0.2,IF(P49="Menor",0.4,IF(P49="Moderado",0.6,IF(P49="Mayor",0.8,IF(P49="Catastrófico",1,))))))</f>
        <v>0.6</v>
      </c>
      <c r="R49" s="484" t="str">
        <f ca="1">IF(OR(AND(L49="Muy Baja",P49="Leve"),AND(L49="Muy Baja",P49="Menor"),AND(L49="Baja",P49="Leve")),"Bajo",IF(OR(AND(L49="Muy baja",P49="Moderado"),AND(L49="Baja",P49="Menor"),AND(L49="Baja",P49="Moderado"),AND(L49="Media",P49="Leve"),AND(L49="Media",P49="Menor"),AND(L49="Media",P49="Moderado"),AND(L49="Alta",P49="Leve"),AND(L49="Alta",P49="Menor")),"Moderado",IF(OR(AND(L49="Muy Baja",P49="Mayor"),AND(L49="Baja",P49="Mayor"),AND(L49="Media",P49="Mayor"),AND(L49="Alta",P49="Moderado"),AND(L49="Alta",P49="Mayor"),AND(L49="Muy Alta",P49="Leve"),AND(L49="Muy Alta",P49="Menor"),AND(L49="Muy Alta",P49="Moderado"),AND(L49="Muy Alta",P49="Mayor")),"Alto",IF(OR(AND(L49="Muy Baja",P49="Catastrófico"),AND(L49="Baja",P49="Catastrófico"),AND(L49="Media",P49="Catastrófico"),AND(L49="Alta",P49="Catastrófico"),AND(L49="Muy Alta",P49="Catastrófico")),"Extremo",""))))</f>
        <v>Alto</v>
      </c>
      <c r="S49" s="125">
        <v>1</v>
      </c>
      <c r="T49" s="259" t="s">
        <v>312</v>
      </c>
      <c r="U49" s="260" t="s">
        <v>154</v>
      </c>
      <c r="V49" s="261" t="s">
        <v>155</v>
      </c>
      <c r="W49" s="261" t="s">
        <v>156</v>
      </c>
      <c r="X49" s="262" t="str">
        <f t="shared" si="32"/>
        <v>40%</v>
      </c>
      <c r="Y49" s="261" t="s">
        <v>157</v>
      </c>
      <c r="Z49" s="261" t="s">
        <v>158</v>
      </c>
      <c r="AA49" s="261" t="s">
        <v>159</v>
      </c>
      <c r="AB49" s="263">
        <f>IFERROR(IF(U49="Probabilidad",(M49-(+M49*X49)),IF(U49="Impacto",M49,"")),"")</f>
        <v>0.48</v>
      </c>
      <c r="AC49" s="269" t="str">
        <f t="shared" si="33"/>
        <v>Media</v>
      </c>
      <c r="AD49" s="264">
        <f t="shared" si="34"/>
        <v>0.48</v>
      </c>
      <c r="AE49" s="269" t="str">
        <f t="shared" ca="1" si="35"/>
        <v>Moderado</v>
      </c>
      <c r="AF49" s="264">
        <f ca="1">IFERROR(IF(U49="Impacto",(Q49-(+Q49*X49)),IF(U49="Probabilidad",Q49,"")),"")</f>
        <v>0.6</v>
      </c>
      <c r="AG49" s="265" t="str">
        <f t="shared" ca="1" si="36"/>
        <v>Moderado</v>
      </c>
      <c r="AH49" s="266" t="s">
        <v>160</v>
      </c>
      <c r="AI49" s="466" t="s">
        <v>313</v>
      </c>
      <c r="AJ49" s="187" t="s">
        <v>31</v>
      </c>
      <c r="AK49" s="188" t="s">
        <v>306</v>
      </c>
      <c r="AL49" s="189" t="s">
        <v>314</v>
      </c>
      <c r="AM49" s="470" t="s">
        <v>315</v>
      </c>
      <c r="AN49" s="277" t="s">
        <v>165</v>
      </c>
      <c r="AO49" s="468"/>
      <c r="AP49" s="468"/>
      <c r="AQ49" s="468"/>
      <c r="AR49" s="277" t="s">
        <v>208</v>
      </c>
      <c r="AS49" s="277"/>
      <c r="AT49" s="277" t="s">
        <v>208</v>
      </c>
      <c r="AU49" s="277" t="s">
        <v>208</v>
      </c>
      <c r="AV49" s="277"/>
      <c r="AW49" s="26"/>
      <c r="AX49" s="26"/>
      <c r="AY49" s="26"/>
      <c r="AZ49" s="26"/>
      <c r="BA49" s="26"/>
      <c r="BB49" s="26"/>
      <c r="BC49" s="26"/>
      <c r="BD49" s="26"/>
      <c r="BE49" s="26"/>
      <c r="BF49" s="26"/>
      <c r="BG49" s="26"/>
      <c r="BH49" s="26"/>
      <c r="BI49" s="26"/>
      <c r="BJ49" s="26"/>
      <c r="BK49" s="26"/>
      <c r="BL49" s="26"/>
      <c r="BM49" s="26"/>
      <c r="BN49" s="26"/>
      <c r="BO49" s="26"/>
      <c r="BP49" s="26"/>
      <c r="BQ49" s="26" t="s">
        <v>167</v>
      </c>
      <c r="BR49" s="26"/>
      <c r="BS49" s="26"/>
      <c r="BT49" s="26"/>
    </row>
    <row r="50" spans="1:72" s="3" customFormat="1" ht="157.5" customHeight="1" x14ac:dyDescent="0.25">
      <c r="A50" s="628"/>
      <c r="B50" s="496"/>
      <c r="C50" s="496"/>
      <c r="D50" s="521"/>
      <c r="E50" s="522"/>
      <c r="F50" s="427"/>
      <c r="G50" s="427"/>
      <c r="H50" s="427"/>
      <c r="I50" s="427"/>
      <c r="J50" s="427"/>
      <c r="K50" s="427"/>
      <c r="L50" s="429"/>
      <c r="M50" s="431"/>
      <c r="N50" s="427"/>
      <c r="O50" s="427"/>
      <c r="P50" s="429"/>
      <c r="Q50" s="431"/>
      <c r="R50" s="486"/>
      <c r="S50" s="125">
        <v>2</v>
      </c>
      <c r="T50" s="259" t="s">
        <v>316</v>
      </c>
      <c r="U50" s="260" t="s">
        <v>154</v>
      </c>
      <c r="V50" s="261" t="s">
        <v>169</v>
      </c>
      <c r="W50" s="261" t="s">
        <v>156</v>
      </c>
      <c r="X50" s="262" t="str">
        <f t="shared" si="32"/>
        <v>30%</v>
      </c>
      <c r="Y50" s="261" t="s">
        <v>157</v>
      </c>
      <c r="Z50" s="261" t="s">
        <v>158</v>
      </c>
      <c r="AA50" s="261" t="s">
        <v>190</v>
      </c>
      <c r="AB50" s="263">
        <f>IFERROR(IF(U50="Probabilidad",(AB49-(+AB49*X50)),IF(U50="Impacto",AB49,"")),"")</f>
        <v>0.33599999999999997</v>
      </c>
      <c r="AC50" s="269" t="str">
        <f t="shared" si="33"/>
        <v>Baja</v>
      </c>
      <c r="AD50" s="124">
        <f t="shared" si="34"/>
        <v>0.33599999999999997</v>
      </c>
      <c r="AE50" s="269" t="str">
        <f t="shared" ca="1" si="35"/>
        <v>Moderado</v>
      </c>
      <c r="AF50" s="264">
        <f ca="1">IFERROR(IF(U50="Impacto",(Q49-(+Q49*X50)),IF(U50="Probabilidad",Q49,"")),"")</f>
        <v>0.6</v>
      </c>
      <c r="AG50" s="265" t="str">
        <f t="shared" ca="1" si="36"/>
        <v>Moderado</v>
      </c>
      <c r="AH50" s="266" t="s">
        <v>160</v>
      </c>
      <c r="AI50" s="427"/>
      <c r="AJ50" s="187" t="s">
        <v>31</v>
      </c>
      <c r="AK50" s="188" t="s">
        <v>306</v>
      </c>
      <c r="AL50" s="189" t="s">
        <v>314</v>
      </c>
      <c r="AM50" s="489"/>
      <c r="AN50" s="277" t="s">
        <v>165</v>
      </c>
      <c r="AO50" s="425"/>
      <c r="AP50" s="425"/>
      <c r="AQ50" s="425"/>
      <c r="AR50" s="277" t="s">
        <v>208</v>
      </c>
      <c r="AS50" s="277"/>
      <c r="AT50" s="277" t="s">
        <v>208</v>
      </c>
      <c r="AU50" s="277" t="s">
        <v>208</v>
      </c>
      <c r="AV50" s="277"/>
      <c r="AW50" s="26"/>
      <c r="AX50" s="26"/>
      <c r="AY50" s="26"/>
      <c r="AZ50" s="26"/>
      <c r="BA50" s="26"/>
      <c r="BB50" s="26"/>
      <c r="BC50" s="26"/>
      <c r="BD50" s="26"/>
      <c r="BE50" s="26"/>
      <c r="BF50" s="26"/>
      <c r="BG50" s="26"/>
      <c r="BH50" s="26"/>
      <c r="BI50" s="26"/>
      <c r="BJ50" s="26"/>
      <c r="BK50" s="26"/>
      <c r="BL50" s="26"/>
      <c r="BM50" s="26"/>
      <c r="BN50" s="26"/>
      <c r="BO50" s="26"/>
      <c r="BP50" s="26"/>
      <c r="BQ50" s="26" t="s">
        <v>16</v>
      </c>
      <c r="BR50" s="26"/>
      <c r="BS50" s="26"/>
      <c r="BT50" s="26"/>
    </row>
    <row r="51" spans="1:72" ht="128.25" customHeight="1" x14ac:dyDescent="0.3">
      <c r="A51" s="628"/>
      <c r="B51" s="496"/>
      <c r="C51" s="496"/>
      <c r="D51" s="521"/>
      <c r="E51" s="490">
        <v>2</v>
      </c>
      <c r="F51" s="466" t="s">
        <v>147</v>
      </c>
      <c r="G51" s="466" t="s">
        <v>317</v>
      </c>
      <c r="H51" s="466" t="s">
        <v>318</v>
      </c>
      <c r="I51" s="466" t="s">
        <v>319</v>
      </c>
      <c r="J51" s="426" t="s">
        <v>320</v>
      </c>
      <c r="K51" s="468">
        <v>14</v>
      </c>
      <c r="L51" s="428" t="str">
        <f t="shared" ref="L51" si="61">IF(K51&lt;=0,"",IF(K51&lt;=2,"Muy Baja",IF(K51&lt;=24,"Baja",IF(K51&lt;=500,"Media",IF(K51&lt;=5000,"Alta","Muy Alta")))))</f>
        <v>Baja</v>
      </c>
      <c r="M51" s="430">
        <f>IF(L51="","",IF(L51="Muy Baja",0.2,IF(L51="Baja",0.4,IF(L51="Media",0.6,IF(L51="Alta",0.8,IF(L51="Muy Alta",1,))))))</f>
        <v>0.4</v>
      </c>
      <c r="N51" s="473" t="s">
        <v>152</v>
      </c>
      <c r="O51" s="481" t="str">
        <f ca="1">IF(NOT(ISERROR(MATCH(N51,_xlfn.ANCHORARRAY(I75),0))),M77&amp;"Por favor no seleccionar los criterios de impacto",N51)</f>
        <v xml:space="preserve">     El riesgo afecta la imagen de la entidad con algunos usuarios de relevancia frente al logro de los objetivos</v>
      </c>
      <c r="P51" s="428" t="str">
        <f ca="1">IF(OR(O51='[1]Tabla Impacto'!$C$11,O51='[1]Tabla Impacto'!$D$11),"Leve",IF(OR(O51='[1]Tabla Impacto'!$C$12,O51='[1]Tabla Impacto'!$D$12),"Menor",IF(OR(O51='[1]Tabla Impacto'!$C$13,O51='[1]Tabla Impacto'!$D$13),"Moderado",IF(OR(O51='[1]Tabla Impacto'!$C$14,O51='[1]Tabla Impacto'!$D$14),"Mayor",IF(OR(O51='[1]Tabla Impacto'!$C$15,O51='[1]Tabla Impacto'!$D$15),"Catastrófico","")))))</f>
        <v>Moderado</v>
      </c>
      <c r="Q51" s="430">
        <f ca="1">IF(P51="","",IF(P51="Leve",0.2,IF(P51="Menor",0.4,IF(P51="Moderado",0.6,IF(P51="Mayor",0.8,IF(P51="Catastrófico",1,))))))</f>
        <v>0.6</v>
      </c>
      <c r="R51" s="484" t="str">
        <f ca="1">IF(OR(AND(L51="Muy Baja",P51="Leve"),AND(L51="Muy Baja",P51="Menor"),AND(L51="Baja",P51="Leve")),"Bajo",IF(OR(AND(L51="Muy baja",P51="Moderado"),AND(L51="Baja",P51="Menor"),AND(L51="Baja",P51="Moderado"),AND(L51="Media",P51="Leve"),AND(L51="Media",P51="Menor"),AND(L51="Media",P51="Moderado"),AND(L51="Alta",P51="Leve"),AND(L51="Alta",P51="Menor")),"Moderado",IF(OR(AND(L51="Muy Baja",P51="Mayor"),AND(L51="Baja",P51="Mayor"),AND(L51="Media",P51="Mayor"),AND(L51="Alta",P51="Moderado"),AND(L51="Alta",P51="Mayor"),AND(L51="Muy Alta",P51="Leve"),AND(L51="Muy Alta",P51="Menor"),AND(L51="Muy Alta",P51="Moderado"),AND(L51="Muy Alta",P51="Mayor")),"Alto",IF(OR(AND(L51="Muy Baja",P51="Catastrófico"),AND(L51="Baja",P51="Catastrófico"),AND(L51="Media",P51="Catastrófico"),AND(L51="Alta",P51="Catastrófico"),AND(L51="Muy Alta",P51="Catastrófico")),"Extremo",""))))</f>
        <v>Moderado</v>
      </c>
      <c r="S51" s="125">
        <v>1</v>
      </c>
      <c r="T51" s="259" t="s">
        <v>321</v>
      </c>
      <c r="U51" s="260" t="s">
        <v>154</v>
      </c>
      <c r="V51" s="261" t="s">
        <v>155</v>
      </c>
      <c r="W51" s="261" t="s">
        <v>156</v>
      </c>
      <c r="X51" s="262" t="str">
        <f t="shared" si="32"/>
        <v>40%</v>
      </c>
      <c r="Y51" s="261" t="s">
        <v>157</v>
      </c>
      <c r="Z51" s="261" t="s">
        <v>158</v>
      </c>
      <c r="AA51" s="261" t="s">
        <v>159</v>
      </c>
      <c r="AB51" s="263">
        <f>IFERROR(IF(U51="Probabilidad",(M51-(+M51*X51)),IF(U51="Impacto",M51,"")),"")</f>
        <v>0.24</v>
      </c>
      <c r="AC51" s="269" t="str">
        <f t="shared" si="33"/>
        <v>Baja</v>
      </c>
      <c r="AD51" s="264">
        <f t="shared" si="34"/>
        <v>0.24</v>
      </c>
      <c r="AE51" s="269" t="str">
        <f t="shared" ca="1" si="35"/>
        <v>Moderado</v>
      </c>
      <c r="AF51" s="264">
        <f t="shared" ref="AF51:AF54" ca="1" si="62">IFERROR(IF(U51="Impacto",(Q51-(+Q51*X51)),IF(U51="Probabilidad",Q51,"")),"")</f>
        <v>0.6</v>
      </c>
      <c r="AG51" s="265" t="str">
        <f t="shared" ca="1" si="36"/>
        <v>Moderado</v>
      </c>
      <c r="AH51" s="266" t="s">
        <v>160</v>
      </c>
      <c r="AI51" s="466" t="s">
        <v>278</v>
      </c>
      <c r="AJ51" s="275" t="s">
        <v>31</v>
      </c>
      <c r="AK51" s="268" t="s">
        <v>306</v>
      </c>
      <c r="AL51" s="260" t="s">
        <v>306</v>
      </c>
      <c r="AM51" s="268" t="s">
        <v>322</v>
      </c>
      <c r="AN51" s="277" t="s">
        <v>165</v>
      </c>
      <c r="AO51" s="468"/>
      <c r="AP51" s="468"/>
      <c r="AQ51" s="468"/>
      <c r="AR51" s="277"/>
      <c r="AS51" s="277"/>
      <c r="AT51" s="277" t="s">
        <v>208</v>
      </c>
      <c r="AU51" s="277" t="s">
        <v>208</v>
      </c>
      <c r="AV51" s="277"/>
      <c r="AW51" s="7"/>
      <c r="AX51" s="7"/>
      <c r="AY51" s="7"/>
      <c r="AZ51" s="7"/>
      <c r="BA51" s="7"/>
      <c r="BB51" s="7"/>
      <c r="BC51" s="7"/>
      <c r="BD51" s="7"/>
      <c r="BE51" s="7"/>
      <c r="BF51" s="7"/>
      <c r="BG51" s="7"/>
      <c r="BH51" s="7"/>
      <c r="BI51" s="7"/>
      <c r="BJ51" s="7"/>
      <c r="BK51" s="7"/>
      <c r="BL51" s="7"/>
      <c r="BM51" s="7"/>
      <c r="BN51" s="7"/>
      <c r="BO51" s="7"/>
      <c r="BP51" s="7"/>
      <c r="BQ51" s="7" t="s">
        <v>14</v>
      </c>
      <c r="BR51" s="7"/>
      <c r="BS51" s="7"/>
      <c r="BT51" s="7"/>
    </row>
    <row r="52" spans="1:72" ht="39.75" customHeight="1" x14ac:dyDescent="0.3">
      <c r="A52" s="628"/>
      <c r="B52" s="496"/>
      <c r="C52" s="496"/>
      <c r="D52" s="521"/>
      <c r="E52" s="491"/>
      <c r="F52" s="426"/>
      <c r="G52" s="426"/>
      <c r="H52" s="426"/>
      <c r="I52" s="426"/>
      <c r="J52" s="426"/>
      <c r="K52" s="424"/>
      <c r="L52" s="483"/>
      <c r="M52" s="481"/>
      <c r="N52" s="473"/>
      <c r="O52" s="481"/>
      <c r="P52" s="483"/>
      <c r="Q52" s="481"/>
      <c r="R52" s="498"/>
      <c r="S52" s="125">
        <v>2</v>
      </c>
      <c r="T52" s="259" t="s">
        <v>323</v>
      </c>
      <c r="U52" s="260" t="s">
        <v>154</v>
      </c>
      <c r="V52" s="261" t="s">
        <v>169</v>
      </c>
      <c r="W52" s="261" t="s">
        <v>156</v>
      </c>
      <c r="X52" s="262" t="str">
        <f t="shared" ref="X52" si="63">IF(AND(V52="Preventivo",W52="Automático"),"50%",IF(AND(V52="Preventivo",W52="Manual"),"40%",IF(AND(V52="Detectivo",W52="Automático"),"40%",IF(AND(V52="Detectivo",W52="Manual"),"30%",IF(AND(V52="Correctivo",W52="Automático"),"35%",IF(AND(V52="Correctivo",W52="Manual"),"25%",""))))))</f>
        <v>30%</v>
      </c>
      <c r="Y52" s="261" t="s">
        <v>157</v>
      </c>
      <c r="Z52" s="261" t="s">
        <v>158</v>
      </c>
      <c r="AA52" s="261" t="s">
        <v>159</v>
      </c>
      <c r="AB52" s="263">
        <f>IFERROR(IF(U52="Probabilidad",(AB51-(+AB51*X52)),IF(U52="Impacto",AB51,"")),"")</f>
        <v>0.16799999999999998</v>
      </c>
      <c r="AC52" s="269" t="str">
        <f t="shared" ref="AC52" si="64">IFERROR(IF(AB52="","",IF(AB52&lt;=0.2,"Muy Baja",IF(AB52&lt;=0.4,"Baja",IF(AB52&lt;=0.6,"Media",IF(AB52&lt;=0.8,"Alta","Muy Alta"))))),"")</f>
        <v>Muy Baja</v>
      </c>
      <c r="AD52" s="264">
        <f t="shared" ref="AD52" si="65">+AB52</f>
        <v>0.16799999999999998</v>
      </c>
      <c r="AE52" s="269" t="str">
        <f t="shared" ref="AE52" ca="1" si="66">IFERROR(IF(AF52="","",IF(AF52&lt;=0.2,"Leve",IF(AF52&lt;=0.4,"Menor",IF(AF52&lt;=0.6,"Moderado",IF(AF52&lt;=0.8,"Mayor","Catastrófico"))))),"")</f>
        <v>Moderado</v>
      </c>
      <c r="AF52" s="264">
        <f ca="1">IFERROR(IF(U52="Impacto",(Q51-(+Q51*X52)),IF(U52="Probabilidad",Q51,"")),"")</f>
        <v>0.6</v>
      </c>
      <c r="AG52" s="265" t="str">
        <f t="shared" ref="AG52" ca="1" si="67">IFERROR(IF(OR(AND(AC52="Muy Baja",AE52="Leve"),AND(AC52="Muy Baja",AE52="Menor"),AND(AC52="Baja",AE52="Leve")),"Bajo",IF(OR(AND(AC52="Muy baja",AE52="Moderado"),AND(AC52="Baja",AE52="Menor"),AND(AC52="Baja",AE52="Moderado"),AND(AC52="Media",AE52="Leve"),AND(AC52="Media",AE52="Menor"),AND(AC52="Media",AE52="Moderado"),AND(AC52="Alta",AE52="Leve"),AND(AC52="Alta",AE52="Menor")),"Moderado",IF(OR(AND(AC52="Muy Baja",AE52="Mayor"),AND(AC52="Baja",AE52="Mayor"),AND(AC52="Media",AE52="Mayor"),AND(AC52="Alta",AE52="Moderado"),AND(AC52="Alta",AE52="Mayor"),AND(AC52="Muy Alta",AE52="Leve"),AND(AC52="Muy Alta",AE52="Menor"),AND(AC52="Muy Alta",AE52="Moderado"),AND(AC52="Muy Alta",AE52="Mayor")),"Alto",IF(OR(AND(AC52="Muy Baja",AE52="Catastrófico"),AND(AC52="Baja",AE52="Catastrófico"),AND(AC52="Media",AE52="Catastrófico"),AND(AC52="Alta",AE52="Catastrófico"),AND(AC52="Muy Alta",AE52="Catastrófico")),"Extremo","")))),"")</f>
        <v>Moderado</v>
      </c>
      <c r="AH52" s="266" t="s">
        <v>160</v>
      </c>
      <c r="AI52" s="426"/>
      <c r="AJ52" s="275" t="s">
        <v>31</v>
      </c>
      <c r="AK52" s="268" t="s">
        <v>306</v>
      </c>
      <c r="AL52" s="260" t="s">
        <v>306</v>
      </c>
      <c r="AM52" s="268" t="s">
        <v>322</v>
      </c>
      <c r="AN52" s="277" t="s">
        <v>165</v>
      </c>
      <c r="AO52" s="424"/>
      <c r="AP52" s="424"/>
      <c r="AQ52" s="424"/>
      <c r="AR52" s="277"/>
      <c r="AS52" s="277"/>
      <c r="AT52" s="277" t="s">
        <v>208</v>
      </c>
      <c r="AU52" s="277" t="s">
        <v>208</v>
      </c>
      <c r="AV52" s="277"/>
      <c r="AW52" s="7"/>
      <c r="AX52" s="7"/>
      <c r="AY52" s="7"/>
      <c r="AZ52" s="7"/>
      <c r="BA52" s="7"/>
      <c r="BB52" s="7"/>
      <c r="BC52" s="7"/>
      <c r="BD52" s="7"/>
      <c r="BE52" s="7"/>
      <c r="BF52" s="7"/>
      <c r="BG52" s="7"/>
      <c r="BH52" s="7"/>
      <c r="BI52" s="7"/>
      <c r="BJ52" s="7"/>
      <c r="BK52" s="7"/>
      <c r="BL52" s="7"/>
      <c r="BM52" s="7"/>
      <c r="BN52" s="7"/>
      <c r="BO52" s="7"/>
      <c r="BP52" s="7"/>
      <c r="BQ52" s="7"/>
      <c r="BR52" s="7"/>
      <c r="BS52" s="7"/>
      <c r="BT52" s="7"/>
    </row>
    <row r="53" spans="1:72" ht="190.5" customHeight="1" x14ac:dyDescent="0.3">
      <c r="A53" s="628"/>
      <c r="B53" s="496"/>
      <c r="C53" s="496"/>
      <c r="D53" s="521"/>
      <c r="E53" s="491"/>
      <c r="F53" s="427"/>
      <c r="G53" s="427"/>
      <c r="H53" s="427"/>
      <c r="I53" s="426"/>
      <c r="J53" s="426"/>
      <c r="K53" s="424"/>
      <c r="L53" s="483"/>
      <c r="M53" s="481"/>
      <c r="N53" s="482"/>
      <c r="O53" s="481"/>
      <c r="P53" s="483"/>
      <c r="Q53" s="481"/>
      <c r="R53" s="498"/>
      <c r="S53" s="125">
        <v>3</v>
      </c>
      <c r="T53" s="259" t="s">
        <v>324</v>
      </c>
      <c r="U53" s="260" t="s">
        <v>154</v>
      </c>
      <c r="V53" s="261" t="s">
        <v>155</v>
      </c>
      <c r="W53" s="261" t="s">
        <v>156</v>
      </c>
      <c r="X53" s="262" t="str">
        <f t="shared" si="32"/>
        <v>40%</v>
      </c>
      <c r="Y53" s="261" t="s">
        <v>157</v>
      </c>
      <c r="Z53" s="261" t="s">
        <v>158</v>
      </c>
      <c r="AA53" s="261" t="s">
        <v>159</v>
      </c>
      <c r="AB53" s="263">
        <f>IFERROR(IF(U53="Probabilidad",(AB52-(+AB52*X53)),IF(U53="Impacto",AB52,"")),"")</f>
        <v>0.10079999999999999</v>
      </c>
      <c r="AC53" s="269" t="str">
        <f t="shared" ref="AC53" si="68">IFERROR(IF(AB53="","",IF(AB53&lt;=0.2,"Muy Baja",IF(AB53&lt;=0.4,"Baja",IF(AB53&lt;=0.6,"Media",IF(AB53&lt;=0.8,"Alta","Muy Alta"))))),"")</f>
        <v>Muy Baja</v>
      </c>
      <c r="AD53" s="264">
        <f t="shared" ref="AD53" si="69">+AB53</f>
        <v>0.10079999999999999</v>
      </c>
      <c r="AE53" s="269" t="str">
        <f t="shared" ref="AE53" ca="1" si="70">IFERROR(IF(AF53="","",IF(AF53&lt;=0.2,"Leve",IF(AF53&lt;=0.4,"Menor",IF(AF53&lt;=0.6,"Moderado",IF(AF53&lt;=0.8,"Mayor","Catastrófico"))))),"")</f>
        <v>Moderado</v>
      </c>
      <c r="AF53" s="264">
        <f ca="1">IFERROR(IF(U53="Impacto",(Q51-(+Q51*X53)),IF(U53="Probabilidad",Q51,"")),"")</f>
        <v>0.6</v>
      </c>
      <c r="AG53" s="265" t="str">
        <f t="shared" ref="AG53" ca="1" si="71">IFERROR(IF(OR(AND(AC53="Muy Baja",AE53="Leve"),AND(AC53="Muy Baja",AE53="Menor"),AND(AC53="Baja",AE53="Leve")),"Bajo",IF(OR(AND(AC53="Muy baja",AE53="Moderado"),AND(AC53="Baja",AE53="Menor"),AND(AC53="Baja",AE53="Moderado"),AND(AC53="Media",AE53="Leve"),AND(AC53="Media",AE53="Menor"),AND(AC53="Media",AE53="Moderado"),AND(AC53="Alta",AE53="Leve"),AND(AC53="Alta",AE53="Menor")),"Moderado",IF(OR(AND(AC53="Muy Baja",AE53="Mayor"),AND(AC53="Baja",AE53="Mayor"),AND(AC53="Media",AE53="Mayor"),AND(AC53="Alta",AE53="Moderado"),AND(AC53="Alta",AE53="Mayor"),AND(AC53="Muy Alta",AE53="Leve"),AND(AC53="Muy Alta",AE53="Menor"),AND(AC53="Muy Alta",AE53="Moderado"),AND(AC53="Muy Alta",AE53="Mayor")),"Alto",IF(OR(AND(AC53="Muy Baja",AE53="Catastrófico"),AND(AC53="Baja",AE53="Catastrófico"),AND(AC53="Media",AE53="Catastrófico"),AND(AC53="Alta",AE53="Catastrófico"),AND(AC53="Muy Alta",AE53="Catastrófico")),"Extremo","")))),"")</f>
        <v>Moderado</v>
      </c>
      <c r="AH53" s="266" t="s">
        <v>160</v>
      </c>
      <c r="AI53" s="427"/>
      <c r="AJ53" s="275" t="s">
        <v>31</v>
      </c>
      <c r="AK53" s="268" t="s">
        <v>325</v>
      </c>
      <c r="AL53" s="260" t="s">
        <v>326</v>
      </c>
      <c r="AM53" s="268" t="s">
        <v>327</v>
      </c>
      <c r="AN53" s="277" t="s">
        <v>165</v>
      </c>
      <c r="AO53" s="424"/>
      <c r="AP53" s="424"/>
      <c r="AQ53" s="424"/>
      <c r="AR53" s="277"/>
      <c r="AS53" s="277"/>
      <c r="AT53" s="277" t="s">
        <v>208</v>
      </c>
      <c r="AU53" s="277" t="s">
        <v>208</v>
      </c>
      <c r="AV53" s="277"/>
      <c r="AW53" s="7"/>
      <c r="AX53" s="7"/>
      <c r="AY53" s="7"/>
      <c r="AZ53" s="7"/>
      <c r="BA53" s="7"/>
      <c r="BB53" s="7"/>
      <c r="BC53" s="7"/>
      <c r="BD53" s="7"/>
      <c r="BE53" s="7"/>
      <c r="BF53" s="7"/>
      <c r="BG53" s="7"/>
      <c r="BH53" s="7"/>
      <c r="BI53" s="7"/>
      <c r="BJ53" s="7"/>
      <c r="BK53" s="7"/>
      <c r="BL53" s="7"/>
      <c r="BM53" s="7"/>
      <c r="BN53" s="7"/>
      <c r="BO53" s="7"/>
      <c r="BP53" s="7"/>
      <c r="BQ53" s="7"/>
      <c r="BR53" s="7"/>
      <c r="BS53" s="7"/>
      <c r="BT53" s="7"/>
    </row>
    <row r="54" spans="1:72" ht="273" customHeight="1" x14ac:dyDescent="0.3">
      <c r="A54" s="629"/>
      <c r="B54" s="527"/>
      <c r="C54" s="496"/>
      <c r="D54" s="521"/>
      <c r="E54" s="290">
        <v>3</v>
      </c>
      <c r="F54" s="153" t="s">
        <v>223</v>
      </c>
      <c r="G54" s="153" t="s">
        <v>328</v>
      </c>
      <c r="H54" s="153" t="s">
        <v>329</v>
      </c>
      <c r="I54" s="153" t="s">
        <v>330</v>
      </c>
      <c r="J54" s="153" t="s">
        <v>188</v>
      </c>
      <c r="K54" s="153">
        <v>16</v>
      </c>
      <c r="L54" s="287" t="str">
        <f t="shared" ref="L54" si="72">IF(K54&lt;=0,"",IF(K54&lt;=2,"Muy Baja",IF(K54&lt;=24,"Baja",IF(K54&lt;=500,"Media",IF(K54&lt;=5000,"Alta","Muy Alta")))))</f>
        <v>Baja</v>
      </c>
      <c r="M54" s="284">
        <f>IF(L54="","",IF(L54="Muy Baja",0.2,IF(L54="Baja",0.4,IF(L54="Media",0.6,IF(L54="Alta",0.8,IF(L54="Muy Alta",1,))))))</f>
        <v>0.4</v>
      </c>
      <c r="N54" s="147" t="str">
        <f>'Tabla Impacto'!D7</f>
        <v>El riesgo afecta la imagen de de la entidad con efecto publicitario sostenido a nivel de sector administrativo, nivel departamental o municipal</v>
      </c>
      <c r="O54" s="148" t="str">
        <f ca="1">IF(NOT(ISERROR(MATCH(N54,_xlfn.ANCHORARRAY(I75),0))),M91&amp;"Por favor no seleccionar los criterios de impacto",N54)</f>
        <v>El riesgo afecta la imagen de de la entidad con efecto publicitario sostenido a nivel de sector administrativo, nivel departamental o municipal</v>
      </c>
      <c r="P54" s="149" t="str">
        <f ca="1">IF(OR(O54='Tabla Impacto'!$C$4,O54='Tabla Impacto'!$D$4),"Leve",IF(OR(O54='Tabla Impacto'!$C$5,O54='Tabla Impacto'!$D$5),"Menor",IF(OR(O54='Tabla Impacto'!$C$6,O54='Tabla Impacto'!$D$6),"Moderado",IF(OR(O54='Tabla Impacto'!$C$7,O54='Tabla Impacto'!$D$7),"Mayor",IF(OR(O54='Tabla Impacto'!$C$8,O54='Tabla Impacto'!$D$8),"Catastrófico","")))))</f>
        <v>Mayor</v>
      </c>
      <c r="Q54" s="150">
        <f ca="1">IF(P54="","",IF(P54="Leve",0.2,IF(P54="Menor",0.4,IF(P54="Moderado",0.6,IF(P54="Mayor",0.8,IF(P54="Catastrófico",1,))))))</f>
        <v>0.8</v>
      </c>
      <c r="R54" s="151" t="str">
        <f ca="1">IF(OR(AND(L54="Muy Baja",P54="Leve"),AND(L54="Muy Baja",P54="Menor"),AND(L54="Baja",P54="Leve")),"Bajo",IF(OR(AND(L54="Muy baja",P54="Moderado"),AND(L54="Baja",P54="Menor"),AND(L54="Baja",P54="Moderado"),AND(L54="Media",P54="Leve"),AND(L54="Media",P54="Menor"),AND(L54="Media",P54="Moderado"),AND(L54="Alta",P54="Leve"),AND(L54="Alta",P54="Menor")),"Moderado",IF(OR(AND(L54="Muy Baja",P54="Mayor"),AND(L54="Baja",P54="Mayor"),AND(L54="Media",P54="Mayor"),AND(L54="Alta",P54="Moderado"),AND(L54="Alta",P54="Mayor"),AND(L54="Muy Alta",P54="Leve"),AND(L54="Muy Alta",P54="Menor"),AND(L54="Muy Alta",P54="Moderado"),AND(L54="Muy Alta",P54="Mayor")),"Alto",IF(OR(AND(L54="Muy Baja",P54="Catastrófico"),AND(L54="Baja",P54="Catastrófico"),AND(L54="Media",P54="Catastrófico"),AND(L54="Alta",P54="Catastrófico"),AND(L54="Muy Alta",P54="Catastrófico")),"Extremo",""))))</f>
        <v>Alto</v>
      </c>
      <c r="S54" s="125">
        <v>1</v>
      </c>
      <c r="T54" s="259" t="s">
        <v>331</v>
      </c>
      <c r="U54" s="260" t="s">
        <v>154</v>
      </c>
      <c r="V54" s="261" t="s">
        <v>155</v>
      </c>
      <c r="W54" s="261" t="s">
        <v>156</v>
      </c>
      <c r="X54" s="262" t="str">
        <f t="shared" si="32"/>
        <v>40%</v>
      </c>
      <c r="Y54" s="261" t="s">
        <v>157</v>
      </c>
      <c r="Z54" s="261" t="s">
        <v>158</v>
      </c>
      <c r="AA54" s="261" t="s">
        <v>159</v>
      </c>
      <c r="AB54" s="263">
        <f>IFERROR(IF(U54="Probabilidad",(M54-(+M54*X54)),IF(U54="Impacto",M54,"")),"")</f>
        <v>0.24</v>
      </c>
      <c r="AC54" s="269" t="str">
        <f t="shared" si="33"/>
        <v>Baja</v>
      </c>
      <c r="AD54" s="264">
        <f t="shared" si="34"/>
        <v>0.24</v>
      </c>
      <c r="AE54" s="269" t="str">
        <f t="shared" ca="1" si="35"/>
        <v>Mayor</v>
      </c>
      <c r="AF54" s="264">
        <f t="shared" ca="1" si="62"/>
        <v>0.8</v>
      </c>
      <c r="AG54" s="265" t="str">
        <f t="shared" ca="1" si="36"/>
        <v>Alto</v>
      </c>
      <c r="AH54" s="266" t="s">
        <v>160</v>
      </c>
      <c r="AI54" s="187"/>
      <c r="AJ54" s="275" t="s">
        <v>31</v>
      </c>
      <c r="AK54" s="144" t="s">
        <v>332</v>
      </c>
      <c r="AL54" s="145" t="s">
        <v>332</v>
      </c>
      <c r="AM54" s="146" t="s">
        <v>333</v>
      </c>
      <c r="AN54" s="277" t="s">
        <v>165</v>
      </c>
      <c r="AO54" s="277"/>
      <c r="AP54" s="277"/>
      <c r="AQ54" s="277"/>
      <c r="AR54" s="277" t="s">
        <v>208</v>
      </c>
      <c r="AS54" s="277"/>
      <c r="AT54" s="277" t="s">
        <v>208</v>
      </c>
      <c r="AU54" s="277" t="s">
        <v>208</v>
      </c>
      <c r="AV54" s="277" t="s">
        <v>208</v>
      </c>
      <c r="AW54" s="7"/>
      <c r="AX54" s="7"/>
      <c r="AY54" s="7"/>
      <c r="AZ54" s="7"/>
      <c r="BA54" s="7"/>
      <c r="BB54" s="7"/>
      <c r="BC54" s="7"/>
      <c r="BD54" s="7"/>
      <c r="BE54" s="7"/>
      <c r="BF54" s="7"/>
      <c r="BG54" s="7"/>
      <c r="BH54" s="7"/>
      <c r="BI54" s="7"/>
      <c r="BJ54" s="7"/>
      <c r="BK54" s="7"/>
      <c r="BL54" s="7"/>
      <c r="BM54" s="7"/>
      <c r="BN54" s="7"/>
      <c r="BO54" s="7"/>
      <c r="BP54" s="7"/>
      <c r="BQ54" s="7" t="s">
        <v>193</v>
      </c>
      <c r="BR54" s="7"/>
      <c r="BS54" s="7"/>
      <c r="BT54" s="7"/>
    </row>
    <row r="55" spans="1:72" ht="168" customHeight="1" x14ac:dyDescent="0.3">
      <c r="A55" s="627" t="s">
        <v>17</v>
      </c>
      <c r="B55" s="526" t="s">
        <v>289</v>
      </c>
      <c r="C55" s="496" t="s">
        <v>290</v>
      </c>
      <c r="D55" s="627" t="s">
        <v>33</v>
      </c>
      <c r="E55" s="290">
        <v>1</v>
      </c>
      <c r="F55" s="152" t="s">
        <v>172</v>
      </c>
      <c r="G55" s="276" t="s">
        <v>334</v>
      </c>
      <c r="H55" s="276" t="s">
        <v>335</v>
      </c>
      <c r="I55" s="276" t="s">
        <v>336</v>
      </c>
      <c r="J55" s="276" t="s">
        <v>188</v>
      </c>
      <c r="K55" s="292">
        <v>240</v>
      </c>
      <c r="L55" s="287" t="str">
        <f t="shared" ref="L55:L56" si="73">IF(K55&lt;=0,"",IF(K55&lt;=2,"Muy Baja",IF(K55&lt;=24,"Baja",IF(K55&lt;=500,"Media",IF(K55&lt;=5000,"Alta","Muy Alta")))))</f>
        <v>Media</v>
      </c>
      <c r="M55" s="284">
        <f>IF(L55="","",IF(L55="Muy Baja",0.2,IF(L55="Baja",0.4,IF(L55="Media",0.6,IF(L55="Alta",0.8,IF(L55="Muy Alta",1,))))))</f>
        <v>0.6</v>
      </c>
      <c r="N55" s="147" t="str">
        <f>'Tabla Impacto'!D7</f>
        <v>El riesgo afecta la imagen de de la entidad con efecto publicitario sostenido a nivel de sector administrativo, nivel departamental o municipal</v>
      </c>
      <c r="O55" s="148" t="str">
        <f ca="1">IF(NOT(ISERROR(MATCH(N55,_xlfn.ANCHORARRAY(I89),0))),M92&amp;"Por favor no seleccionar los criterios de impacto",N55)</f>
        <v>El riesgo afecta la imagen de de la entidad con efecto publicitario sostenido a nivel de sector administrativo, nivel departamental o municipal</v>
      </c>
      <c r="P55" s="149" t="str">
        <f ca="1">IF(OR(O55='Tabla Impacto'!$C$4,O55='Tabla Impacto'!$D$4),"Leve",IF(OR(O55='Tabla Impacto'!$C$5,O55='Tabla Impacto'!$D$5),"Menor",IF(OR(O55='Tabla Impacto'!$C$6,O55='Tabla Impacto'!$D$6),"Moderado",IF(OR(O55='Tabla Impacto'!$C$7,O55='Tabla Impacto'!$D$7),"Mayor",IF(OR(O55='Tabla Impacto'!$C$8,O55='Tabla Impacto'!$D$8),"Catastrófico","")))))</f>
        <v>Mayor</v>
      </c>
      <c r="Q55" s="150">
        <f ca="1">IF(P55="","",IF(P55="Leve",0.2,IF(P55="Menor",0.4,IF(P55="Moderado",0.6,IF(P55="Mayor",0.8,IF(P55="Catastrófico",1,))))))</f>
        <v>0.8</v>
      </c>
      <c r="R55" s="151" t="str">
        <f ca="1">IF(OR(AND(L55="Muy Baja",P55="Leve"),AND(L55="Muy Baja",P55="Menor"),AND(L55="Baja",P55="Leve")),"Bajo",IF(OR(AND(L55="Muy baja",P55="Moderado"),AND(L55="Baja",P55="Menor"),AND(L55="Baja",P55="Moderado"),AND(L55="Media",P55="Leve"),AND(L55="Media",P55="Menor"),AND(L55="Media",P55="Moderado"),AND(L55="Alta",P55="Leve"),AND(L55="Alta",P55="Menor")),"Moderado",IF(OR(AND(L55="Muy Baja",P55="Mayor"),AND(L55="Baja",P55="Mayor"),AND(L55="Media",P55="Mayor"),AND(L55="Alta",P55="Moderado"),AND(L55="Alta",P55="Mayor"),AND(L55="Muy Alta",P55="Leve"),AND(L55="Muy Alta",P55="Menor"),AND(L55="Muy Alta",P55="Moderado"),AND(L55="Muy Alta",P55="Mayor")),"Alto",IF(OR(AND(L55="Muy Baja",P55="Catastrófico"),AND(L55="Baja",P55="Catastrófico"),AND(L55="Media",P55="Catastrófico"),AND(L55="Alta",P55="Catastrófico"),AND(L55="Muy Alta",P55="Catastrófico")),"Extremo",""))))</f>
        <v>Alto</v>
      </c>
      <c r="S55" s="125">
        <v>1</v>
      </c>
      <c r="T55" s="259" t="s">
        <v>337</v>
      </c>
      <c r="U55" s="260" t="s">
        <v>154</v>
      </c>
      <c r="V55" s="261" t="s">
        <v>155</v>
      </c>
      <c r="W55" s="261" t="s">
        <v>156</v>
      </c>
      <c r="X55" s="262" t="str">
        <f t="shared" ref="X55:X57" si="74">IF(AND(V55="Preventivo",W55="Automático"),"50%",IF(AND(V55="Preventivo",W55="Manual"),"40%",IF(AND(V55="Detectivo",W55="Automático"),"40%",IF(AND(V55="Detectivo",W55="Manual"),"30%",IF(AND(V55="Correctivo",W55="Automático"),"35%",IF(AND(V55="Correctivo",W55="Manual"),"25%",""))))))</f>
        <v>40%</v>
      </c>
      <c r="Y55" s="261" t="s">
        <v>157</v>
      </c>
      <c r="Z55" s="261" t="s">
        <v>158</v>
      </c>
      <c r="AA55" s="261" t="s">
        <v>159</v>
      </c>
      <c r="AB55" s="263">
        <f>IFERROR(IF(U55="Probabilidad",(AB54-(+AB54*X55)),IF(U55="Impacto",AB54,"")),"")</f>
        <v>0.14399999999999999</v>
      </c>
      <c r="AC55" s="269" t="str">
        <f t="shared" ref="AC55" si="75">IFERROR(IF(AB55="","",IF(AB55&lt;=0.2,"Muy Baja",IF(AB55&lt;=0.4,"Baja",IF(AB55&lt;=0.6,"Media",IF(AB55&lt;=0.8,"Alta","Muy Alta"))))),"")</f>
        <v>Muy Baja</v>
      </c>
      <c r="AD55" s="264">
        <f t="shared" ref="AD55" si="76">+AB55</f>
        <v>0.14399999999999999</v>
      </c>
      <c r="AE55" s="269" t="str">
        <f t="shared" ref="AE55" ca="1" si="77">IFERROR(IF(AF55="","",IF(AF55&lt;=0.2,"Leve",IF(AF55&lt;=0.4,"Menor",IF(AF55&lt;=0.6,"Moderado",IF(AF55&lt;=0.8,"Mayor","Catastrófico"))))),"")</f>
        <v>Mayor</v>
      </c>
      <c r="AF55" s="264">
        <f ca="1">IFERROR(IF(U55="Impacto",(Q55-(+Q55*X55)),IF(U55="Probabilidad",Q55,"")),"")</f>
        <v>0.8</v>
      </c>
      <c r="AG55" s="265" t="str">
        <f t="shared" ref="AG55" ca="1" si="78">IFERROR(IF(OR(AND(AC55="Muy Baja",AE55="Leve"),AND(AC55="Muy Baja",AE55="Menor"),AND(AC55="Baja",AE55="Leve")),"Bajo",IF(OR(AND(AC55="Muy baja",AE55="Moderado"),AND(AC55="Baja",AE55="Menor"),AND(AC55="Baja",AE55="Moderado"),AND(AC55="Media",AE55="Leve"),AND(AC55="Media",AE55="Menor"),AND(AC55="Media",AE55="Moderado"),AND(AC55="Alta",AE55="Leve"),AND(AC55="Alta",AE55="Menor")),"Moderado",IF(OR(AND(AC55="Muy Baja",AE55="Mayor"),AND(AC55="Baja",AE55="Mayor"),AND(AC55="Media",AE55="Mayor"),AND(AC55="Alta",AE55="Moderado"),AND(AC55="Alta",AE55="Mayor"),AND(AC55="Muy Alta",AE55="Leve"),AND(AC55="Muy Alta",AE55="Menor"),AND(AC55="Muy Alta",AE55="Moderado"),AND(AC55="Muy Alta",AE55="Mayor")),"Alto",IF(OR(AND(AC55="Muy Baja",AE55="Catastrófico"),AND(AC55="Baja",AE55="Catastrófico"),AND(AC55="Media",AE55="Catastrófico"),AND(AC55="Alta",AE55="Catastrófico"),AND(AC55="Muy Alta",AE55="Catastrófico")),"Extremo","")))),"")</f>
        <v>Alto</v>
      </c>
      <c r="AH55" s="266" t="s">
        <v>160</v>
      </c>
      <c r="AI55" s="187"/>
      <c r="AJ55" s="187" t="s">
        <v>33</v>
      </c>
      <c r="AK55" s="188" t="s">
        <v>255</v>
      </c>
      <c r="AL55" s="189"/>
      <c r="AM55" s="131"/>
      <c r="AN55" s="277" t="s">
        <v>165</v>
      </c>
      <c r="AO55" s="468"/>
      <c r="AP55" s="468"/>
      <c r="AQ55" s="468"/>
      <c r="AR55" s="277"/>
      <c r="AS55" s="277"/>
      <c r="AT55" s="277" t="s">
        <v>208</v>
      </c>
      <c r="AU55" s="277" t="s">
        <v>208</v>
      </c>
      <c r="AV55" s="277"/>
      <c r="AW55" s="7"/>
      <c r="AX55" s="7"/>
      <c r="AY55" s="7"/>
      <c r="AZ55" s="7"/>
      <c r="BA55" s="7"/>
      <c r="BB55" s="7"/>
      <c r="BC55" s="7"/>
      <c r="BD55" s="7"/>
      <c r="BE55" s="7"/>
      <c r="BF55" s="7"/>
      <c r="BG55" s="7"/>
      <c r="BH55" s="7"/>
      <c r="BI55" s="7"/>
      <c r="BJ55" s="7"/>
      <c r="BK55" s="7"/>
      <c r="BL55" s="7"/>
      <c r="BM55" s="7"/>
      <c r="BN55" s="7"/>
      <c r="BO55" s="7"/>
      <c r="BP55" s="7"/>
      <c r="BQ55" s="7"/>
      <c r="BR55" s="7"/>
      <c r="BS55" s="7"/>
      <c r="BT55" s="7"/>
    </row>
    <row r="56" spans="1:72" ht="264.75" customHeight="1" x14ac:dyDescent="0.3">
      <c r="A56" s="628"/>
      <c r="B56" s="496"/>
      <c r="C56" s="496"/>
      <c r="D56" s="628"/>
      <c r="E56" s="490">
        <v>2</v>
      </c>
      <c r="F56" s="466" t="s">
        <v>147</v>
      </c>
      <c r="G56" s="426" t="s">
        <v>334</v>
      </c>
      <c r="H56" s="466" t="s">
        <v>338</v>
      </c>
      <c r="I56" s="466" t="s">
        <v>339</v>
      </c>
      <c r="J56" s="426" t="s">
        <v>188</v>
      </c>
      <c r="K56" s="468">
        <v>240</v>
      </c>
      <c r="L56" s="428" t="str">
        <f t="shared" si="73"/>
        <v>Media</v>
      </c>
      <c r="M56" s="430">
        <f t="shared" ref="M56:M58" si="79">IF(L56="","",IF(L56="Muy Baja",0.2,IF(L56="Baja",0.4,IF(L56="Media",0.6,IF(L56="Alta",0.8,IF(L56="Muy Alta",1,))))))</f>
        <v>0.6</v>
      </c>
      <c r="N56" s="473" t="s">
        <v>340</v>
      </c>
      <c r="O56" s="481" t="str">
        <f ca="1">IF(NOT(ISERROR(MATCH(N56,_xlfn.ANCHORARRAY(I91),0))),M95&amp;"Por favor no seleccionar los criterios de impacto",N56)</f>
        <v xml:space="preserve">     Afectación menor a 10 SMLMV .</v>
      </c>
      <c r="P56" s="428" t="str">
        <f ca="1">IF(OR(O56='[4]Tabla Impacto'!$C$11,O56='[4]Tabla Impacto'!$D$11),"Leve",IF(OR(O56='[4]Tabla Impacto'!$C$12,O56='[4]Tabla Impacto'!$D$12),"Menor",IF(OR(O56='[4]Tabla Impacto'!$C$13,O56='[4]Tabla Impacto'!$D$13),"Moderado",IF(OR(O56='[4]Tabla Impacto'!$C$14,O56='[4]Tabla Impacto'!$D$14),"Mayor",IF(OR(O56='[4]Tabla Impacto'!$C$15,O56='[4]Tabla Impacto'!$D$15),"Catastrófico","")))))</f>
        <v>Leve</v>
      </c>
      <c r="Q56" s="430">
        <f t="shared" ref="Q56:Q58" ca="1" si="80">IF(P56="","",IF(P56="Leve",0.2,IF(P56="Menor",0.4,IF(P56="Moderado",0.6,IF(P56="Mayor",0.8,IF(P56="Catastrófico",1,))))))</f>
        <v>0.2</v>
      </c>
      <c r="R56" s="484" t="str">
        <f t="shared" ref="R56" ca="1" si="81">IF(OR(AND(L56="Muy Baja",P56="Leve"),AND(L56="Muy Baja",P56="Menor"),AND(L56="Baja",P56="Leve")),"Bajo",IF(OR(AND(L56="Muy baja",P56="Moderado"),AND(L56="Baja",P56="Menor"),AND(L56="Baja",P56="Moderado"),AND(L56="Media",P56="Leve"),AND(L56="Media",P56="Menor"),AND(L56="Media",P56="Moderado"),AND(L56="Alta",P56="Leve"),AND(L56="Alta",P56="Menor")),"Moderado",IF(OR(AND(L56="Muy Baja",P56="Mayor"),AND(L56="Baja",P56="Mayor"),AND(L56="Media",P56="Mayor"),AND(L56="Alta",P56="Moderado"),AND(L56="Alta",P56="Mayor"),AND(L56="Muy Alta",P56="Leve"),AND(L56="Muy Alta",P56="Menor"),AND(L56="Muy Alta",P56="Moderado"),AND(L56="Muy Alta",P56="Mayor")),"Alto",IF(OR(AND(L56="Muy Baja",P56="Catastrófico"),AND(L56="Baja",P56="Catastrófico"),AND(L56="Media",P56="Catastrófico"),AND(L56="Alta",P56="Catastrófico"),AND(L56="Muy Alta",P56="Catastrófico")),"Extremo",""))))</f>
        <v>Moderado</v>
      </c>
      <c r="S56" s="125">
        <v>1</v>
      </c>
      <c r="T56" s="259" t="s">
        <v>341</v>
      </c>
      <c r="U56" s="260" t="s">
        <v>154</v>
      </c>
      <c r="V56" s="261" t="s">
        <v>155</v>
      </c>
      <c r="W56" s="261" t="s">
        <v>156</v>
      </c>
      <c r="X56" s="262" t="str">
        <f t="shared" si="74"/>
        <v>40%</v>
      </c>
      <c r="Y56" s="261" t="s">
        <v>157</v>
      </c>
      <c r="Z56" s="261" t="s">
        <v>158</v>
      </c>
      <c r="AA56" s="261" t="s">
        <v>159</v>
      </c>
      <c r="AB56" s="263">
        <f>IFERROR(IF(U56="Probabilidad",(M56-(+M56*X56)),IF(U56="Impacto",M56,"")),"")</f>
        <v>0.36</v>
      </c>
      <c r="AC56" s="269" t="str">
        <f t="shared" ref="AC56:AC57" si="82">IFERROR(IF(AB56="","",IF(AB56&lt;=0.2,"Muy Baja",IF(AB56&lt;=0.4,"Baja",IF(AB56&lt;=0.6,"Media",IF(AB56&lt;=0.8,"Alta","Muy Alta"))))),"")</f>
        <v>Baja</v>
      </c>
      <c r="AD56" s="264">
        <f t="shared" ref="AD56:AD57" si="83">+AB56</f>
        <v>0.36</v>
      </c>
      <c r="AE56" s="269" t="str">
        <f t="shared" ref="AE56:AE57" ca="1" si="84">IFERROR(IF(AF56="","",IF(AF56&lt;=0.2,"Leve",IF(AF56&lt;=0.4,"Menor",IF(AF56&lt;=0.6,"Moderado",IF(AF56&lt;=0.8,"Mayor","Catastrófico"))))),"")</f>
        <v>Leve</v>
      </c>
      <c r="AF56" s="264">
        <f t="shared" ref="AF56" ca="1" si="85">IFERROR(IF(U56="Impacto",(Q56-(+Q56*X56)),IF(U56="Probabilidad",Q56,"")),"")</f>
        <v>0.2</v>
      </c>
      <c r="AG56" s="265" t="str">
        <f t="shared" ref="AG56:AG57" ca="1" si="86">IFERROR(IF(OR(AND(AC56="Muy Baja",AE56="Leve"),AND(AC56="Muy Baja",AE56="Menor"),AND(AC56="Baja",AE56="Leve")),"Bajo",IF(OR(AND(AC56="Muy baja",AE56="Moderado"),AND(AC56="Baja",AE56="Menor"),AND(AC56="Baja",AE56="Moderado"),AND(AC56="Media",AE56="Leve"),AND(AC56="Media",AE56="Menor"),AND(AC56="Media",AE56="Moderado"),AND(AC56="Alta",AE56="Leve"),AND(AC56="Alta",AE56="Menor")),"Moderado",IF(OR(AND(AC56="Muy Baja",AE56="Mayor"),AND(AC56="Baja",AE56="Mayor"),AND(AC56="Media",AE56="Mayor"),AND(AC56="Alta",AE56="Moderado"),AND(AC56="Alta",AE56="Mayor"),AND(AC56="Muy Alta",AE56="Leve"),AND(AC56="Muy Alta",AE56="Menor"),AND(AC56="Muy Alta",AE56="Moderado"),AND(AC56="Muy Alta",AE56="Mayor")),"Alto",IF(OR(AND(AC56="Muy Baja",AE56="Catastrófico"),AND(AC56="Baja",AE56="Catastrófico"),AND(AC56="Media",AE56="Catastrófico"),AND(AC56="Alta",AE56="Catastrófico"),AND(AC56="Muy Alta",AE56="Catastrófico")),"Extremo","")))),"")</f>
        <v>Bajo</v>
      </c>
      <c r="AH56" s="266" t="s">
        <v>160</v>
      </c>
      <c r="AI56" s="187"/>
      <c r="AJ56" s="268" t="s">
        <v>33</v>
      </c>
      <c r="AK56" s="188" t="s">
        <v>255</v>
      </c>
      <c r="AL56" s="189"/>
      <c r="AM56" s="260"/>
      <c r="AN56" s="277" t="s">
        <v>165</v>
      </c>
      <c r="AO56" s="425"/>
      <c r="AP56" s="425"/>
      <c r="AQ56" s="425"/>
      <c r="AR56" s="277"/>
      <c r="AS56" s="277"/>
      <c r="AT56" s="277"/>
      <c r="AU56" s="277" t="s">
        <v>208</v>
      </c>
      <c r="AV56" s="277"/>
      <c r="AW56" s="7"/>
      <c r="AX56" s="7"/>
      <c r="AY56" s="7"/>
      <c r="AZ56" s="7"/>
      <c r="BA56" s="7"/>
      <c r="BB56" s="7"/>
      <c r="BC56" s="7"/>
      <c r="BD56" s="7"/>
      <c r="BE56" s="7"/>
      <c r="BF56" s="7"/>
      <c r="BG56" s="7"/>
      <c r="BH56" s="7"/>
      <c r="BI56" s="7"/>
      <c r="BJ56" s="7"/>
      <c r="BK56" s="7"/>
      <c r="BL56" s="7"/>
      <c r="BM56" s="7"/>
      <c r="BN56" s="7"/>
      <c r="BO56" s="7"/>
      <c r="BP56" s="7"/>
      <c r="BQ56" s="7"/>
      <c r="BR56" s="7"/>
      <c r="BS56" s="7"/>
      <c r="BT56" s="7"/>
    </row>
    <row r="57" spans="1:72" ht="260.25" customHeight="1" x14ac:dyDescent="0.3">
      <c r="A57" s="628"/>
      <c r="B57" s="496"/>
      <c r="C57" s="496"/>
      <c r="D57" s="628"/>
      <c r="E57" s="522"/>
      <c r="F57" s="427"/>
      <c r="G57" s="427"/>
      <c r="H57" s="427"/>
      <c r="I57" s="427"/>
      <c r="J57" s="427"/>
      <c r="K57" s="424"/>
      <c r="L57" s="429"/>
      <c r="M57" s="431"/>
      <c r="N57" s="473"/>
      <c r="O57" s="481"/>
      <c r="P57" s="429"/>
      <c r="Q57" s="431"/>
      <c r="R57" s="486"/>
      <c r="S57" s="125">
        <v>2</v>
      </c>
      <c r="T57" s="259" t="s">
        <v>342</v>
      </c>
      <c r="U57" s="260" t="s">
        <v>154</v>
      </c>
      <c r="V57" s="261" t="s">
        <v>169</v>
      </c>
      <c r="W57" s="261" t="s">
        <v>295</v>
      </c>
      <c r="X57" s="262" t="str">
        <f t="shared" si="74"/>
        <v>40%</v>
      </c>
      <c r="Y57" s="261" t="s">
        <v>157</v>
      </c>
      <c r="Z57" s="261" t="s">
        <v>158</v>
      </c>
      <c r="AA57" s="261" t="s">
        <v>159</v>
      </c>
      <c r="AB57" s="263">
        <f>IFERROR(IF(U57="Probabilidad",(AB56-(+AB56*X57)),IF(U57="Impacto",AB56,"")),"")</f>
        <v>0.216</v>
      </c>
      <c r="AC57" s="269" t="str">
        <f t="shared" si="82"/>
        <v>Baja</v>
      </c>
      <c r="AD57" s="264">
        <f t="shared" si="83"/>
        <v>0.216</v>
      </c>
      <c r="AE57" s="269" t="str">
        <f t="shared" ca="1" si="84"/>
        <v>Leve</v>
      </c>
      <c r="AF57" s="264">
        <f ca="1">IFERROR(IF(U57="Impacto",(Q56-(+Q56*X57)),IF(U57="Probabilidad",Q56,"")),"")</f>
        <v>0.2</v>
      </c>
      <c r="AG57" s="265" t="str">
        <f t="shared" ca="1" si="86"/>
        <v>Bajo</v>
      </c>
      <c r="AH57" s="266" t="s">
        <v>160</v>
      </c>
      <c r="AI57" s="187"/>
      <c r="AJ57" s="268" t="s">
        <v>33</v>
      </c>
      <c r="AK57" s="188" t="s">
        <v>255</v>
      </c>
      <c r="AL57" s="145"/>
      <c r="AM57" s="278"/>
      <c r="AN57" s="277" t="s">
        <v>165</v>
      </c>
      <c r="AO57" s="277"/>
      <c r="AP57" s="277"/>
      <c r="AQ57" s="277"/>
      <c r="AR57" s="277"/>
      <c r="AS57" s="277"/>
      <c r="AT57" s="277"/>
      <c r="AU57" s="277" t="s">
        <v>208</v>
      </c>
      <c r="AV57" s="277"/>
      <c r="AW57" s="7"/>
      <c r="AX57" s="7"/>
      <c r="AY57" s="7"/>
      <c r="AZ57" s="7"/>
      <c r="BA57" s="7"/>
      <c r="BB57" s="7"/>
      <c r="BC57" s="7"/>
      <c r="BD57" s="7"/>
      <c r="BE57" s="7"/>
      <c r="BF57" s="7"/>
      <c r="BG57" s="7"/>
      <c r="BH57" s="7"/>
      <c r="BI57" s="7"/>
      <c r="BJ57" s="7"/>
      <c r="BK57" s="7"/>
      <c r="BL57" s="7"/>
      <c r="BM57" s="7"/>
      <c r="BN57" s="7"/>
      <c r="BO57" s="7"/>
      <c r="BP57" s="7"/>
      <c r="BQ57" s="7"/>
      <c r="BR57" s="7"/>
      <c r="BS57" s="7"/>
      <c r="BT57" s="7"/>
    </row>
    <row r="58" spans="1:72" ht="195.75" customHeight="1" x14ac:dyDescent="0.3">
      <c r="A58" s="628"/>
      <c r="B58" s="496"/>
      <c r="C58" s="496"/>
      <c r="D58" s="628"/>
      <c r="E58" s="490">
        <v>3</v>
      </c>
      <c r="F58" s="466" t="s">
        <v>147</v>
      </c>
      <c r="G58" s="426" t="s">
        <v>334</v>
      </c>
      <c r="H58" s="466" t="s">
        <v>343</v>
      </c>
      <c r="I58" s="466" t="s">
        <v>344</v>
      </c>
      <c r="J58" s="426" t="s">
        <v>345</v>
      </c>
      <c r="K58" s="424">
        <v>240</v>
      </c>
      <c r="L58" s="428" t="str">
        <f t="shared" ref="L58" si="87">IF(K58&lt;=0,"",IF(K58&lt;=2,"Muy Baja",IF(K58&lt;=24,"Baja",IF(K58&lt;=500,"Media",IF(K58&lt;=5000,"Alta","Muy Alta")))))</f>
        <v>Media</v>
      </c>
      <c r="M58" s="430">
        <f t="shared" si="79"/>
        <v>0.6</v>
      </c>
      <c r="N58" s="473" t="s">
        <v>346</v>
      </c>
      <c r="O58" s="481" t="str">
        <f ca="1">IF(NOT(ISERROR(MATCH(N58,_xlfn.ANCHORARRAY(I95),0))),#REF!&amp;"Por favor no seleccionar los criterios de impacto",N58)</f>
        <v xml:space="preserve">     Entre 100 y 500 SMLMV </v>
      </c>
      <c r="P58" s="428" t="str">
        <f ca="1">IF(OR(O58='[4]Tabla Impacto'!$C$11,O58='[4]Tabla Impacto'!$D$11),"Leve",IF(OR(O58='[4]Tabla Impacto'!$C$12,O58='[4]Tabla Impacto'!$D$12),"Menor",IF(OR(O58='[4]Tabla Impacto'!$C$13,O58='[4]Tabla Impacto'!$D$13),"Moderado",IF(OR(O58='[4]Tabla Impacto'!$C$14,O58='[4]Tabla Impacto'!$D$14),"Mayor",IF(OR(O58='[4]Tabla Impacto'!$C$15,O58='[4]Tabla Impacto'!$D$15),"Catastrófico","")))))</f>
        <v>Mayor</v>
      </c>
      <c r="Q58" s="430">
        <f t="shared" ca="1" si="80"/>
        <v>0.8</v>
      </c>
      <c r="R58" s="484" t="str">
        <f t="shared" ref="R58" ca="1" si="88">IF(OR(AND(L58="Muy Baja",P58="Leve"),AND(L58="Muy Baja",P58="Menor"),AND(L58="Baja",P58="Leve")),"Bajo",IF(OR(AND(L58="Muy baja",P58="Moderado"),AND(L58="Baja",P58="Menor"),AND(L58="Baja",P58="Moderado"),AND(L58="Media",P58="Leve"),AND(L58="Media",P58="Menor"),AND(L58="Media",P58="Moderado"),AND(L58="Alta",P58="Leve"),AND(L58="Alta",P58="Menor")),"Moderado",IF(OR(AND(L58="Muy Baja",P58="Mayor"),AND(L58="Baja",P58="Mayor"),AND(L58="Media",P58="Mayor"),AND(L58="Alta",P58="Moderado"),AND(L58="Alta",P58="Mayor"),AND(L58="Muy Alta",P58="Leve"),AND(L58="Muy Alta",P58="Menor"),AND(L58="Muy Alta",P58="Moderado"),AND(L58="Muy Alta",P58="Mayor")),"Alto",IF(OR(AND(L58="Muy Baja",P58="Catastrófico"),AND(L58="Baja",P58="Catastrófico"),AND(L58="Media",P58="Catastrófico"),AND(L58="Alta",P58="Catastrófico"),AND(L58="Muy Alta",P58="Catastrófico")),"Extremo",""))))</f>
        <v>Alto</v>
      </c>
      <c r="S58" s="125">
        <v>1</v>
      </c>
      <c r="T58" s="259" t="s">
        <v>347</v>
      </c>
      <c r="U58" s="260" t="s">
        <v>154</v>
      </c>
      <c r="V58" s="261" t="s">
        <v>155</v>
      </c>
      <c r="W58" s="261" t="s">
        <v>156</v>
      </c>
      <c r="X58" s="262" t="str">
        <f t="shared" ref="X58:X59" si="89">IF(AND(V58="Preventivo",W58="Automático"),"50%",IF(AND(V58="Preventivo",W58="Manual"),"40%",IF(AND(V58="Detectivo",W58="Automático"),"40%",IF(AND(V58="Detectivo",W58="Manual"),"30%",IF(AND(V58="Correctivo",W58="Automático"),"35%",IF(AND(V58="Correctivo",W58="Manual"),"25%",""))))))</f>
        <v>40%</v>
      </c>
      <c r="Y58" s="261" t="s">
        <v>157</v>
      </c>
      <c r="Z58" s="261" t="s">
        <v>158</v>
      </c>
      <c r="AA58" s="261" t="s">
        <v>159</v>
      </c>
      <c r="AB58" s="263">
        <f>IFERROR(IF(U58="Probabilidad",(M58-(+M58*X58)),IF(U58="Impacto",M58,"")),"")</f>
        <v>0.36</v>
      </c>
      <c r="AC58" s="269" t="str">
        <f t="shared" ref="AC58:AC59" si="90">IFERROR(IF(AB58="","",IF(AB58&lt;=0.2,"Muy Baja",IF(AB58&lt;=0.4,"Baja",IF(AB58&lt;=0.6,"Media",IF(AB58&lt;=0.8,"Alta","Muy Alta"))))),"")</f>
        <v>Baja</v>
      </c>
      <c r="AD58" s="264">
        <f t="shared" ref="AD58:AD59" si="91">+AB58</f>
        <v>0.36</v>
      </c>
      <c r="AE58" s="269" t="str">
        <f t="shared" ref="AE58:AE59" ca="1" si="92">IFERROR(IF(AF58="","",IF(AF58&lt;=0.2,"Leve",IF(AF58&lt;=0.4,"Menor",IF(AF58&lt;=0.6,"Moderado",IF(AF58&lt;=0.8,"Mayor","Catastrófico"))))),"")</f>
        <v>Mayor</v>
      </c>
      <c r="AF58" s="264">
        <f ca="1">IFERROR(IF(U58="Impacto",(Q58-(+Q58*X58)),IF(U58="Probabilidad",Q58,"")),"")</f>
        <v>0.8</v>
      </c>
      <c r="AG58" s="265" t="str">
        <f t="shared" ref="AG58:AG59" ca="1" si="93">IFERROR(IF(OR(AND(AC58="Muy Baja",AE58="Leve"),AND(AC58="Muy Baja",AE58="Menor"),AND(AC58="Baja",AE58="Leve")),"Bajo",IF(OR(AND(AC58="Muy baja",AE58="Moderado"),AND(AC58="Baja",AE58="Menor"),AND(AC58="Baja",AE58="Moderado"),AND(AC58="Media",AE58="Leve"),AND(AC58="Media",AE58="Menor"),AND(AC58="Media",AE58="Moderado"),AND(AC58="Alta",AE58="Leve"),AND(AC58="Alta",AE58="Menor")),"Moderado",IF(OR(AND(AC58="Muy Baja",AE58="Mayor"),AND(AC58="Baja",AE58="Mayor"),AND(AC58="Media",AE58="Mayor"),AND(AC58="Alta",AE58="Moderado"),AND(AC58="Alta",AE58="Mayor"),AND(AC58="Muy Alta",AE58="Leve"),AND(AC58="Muy Alta",AE58="Menor"),AND(AC58="Muy Alta",AE58="Moderado"),AND(AC58="Muy Alta",AE58="Mayor")),"Alto",IF(OR(AND(AC58="Muy Baja",AE58="Catastrófico"),AND(AC58="Baja",AE58="Catastrófico"),AND(AC58="Media",AE58="Catastrófico"),AND(AC58="Alta",AE58="Catastrófico"),AND(AC58="Muy Alta",AE58="Catastrófico")),"Extremo","")))),"")</f>
        <v>Alto</v>
      </c>
      <c r="AH58" s="266" t="s">
        <v>160</v>
      </c>
      <c r="AI58" s="187"/>
      <c r="AJ58" s="268" t="s">
        <v>33</v>
      </c>
      <c r="AK58" s="188" t="s">
        <v>255</v>
      </c>
      <c r="AL58" s="145"/>
      <c r="AM58" s="278"/>
      <c r="AN58" s="277" t="s">
        <v>165</v>
      </c>
      <c r="AO58" s="277"/>
      <c r="AP58" s="277"/>
      <c r="AQ58" s="277"/>
      <c r="AR58" s="277" t="s">
        <v>208</v>
      </c>
      <c r="AS58" s="277"/>
      <c r="AT58" s="277"/>
      <c r="AU58" s="277" t="s">
        <v>208</v>
      </c>
      <c r="AV58" s="277"/>
      <c r="AW58" s="7"/>
      <c r="AX58" s="7"/>
      <c r="AY58" s="7"/>
      <c r="AZ58" s="7"/>
      <c r="BA58" s="7"/>
      <c r="BB58" s="7"/>
      <c r="BC58" s="7"/>
      <c r="BD58" s="7"/>
      <c r="BE58" s="7"/>
      <c r="BF58" s="7"/>
      <c r="BG58" s="7"/>
      <c r="BH58" s="7"/>
      <c r="BI58" s="7"/>
      <c r="BJ58" s="7"/>
      <c r="BK58" s="7"/>
      <c r="BL58" s="7"/>
      <c r="BM58" s="7"/>
      <c r="BN58" s="7"/>
      <c r="BO58" s="7"/>
      <c r="BP58" s="7"/>
      <c r="BQ58" s="7"/>
      <c r="BR58" s="7"/>
      <c r="BS58" s="7"/>
      <c r="BT58" s="7"/>
    </row>
    <row r="59" spans="1:72" ht="78.75" customHeight="1" x14ac:dyDescent="0.3">
      <c r="A59" s="629"/>
      <c r="B59" s="527"/>
      <c r="C59" s="527"/>
      <c r="D59" s="629"/>
      <c r="E59" s="522"/>
      <c r="F59" s="427"/>
      <c r="G59" s="427"/>
      <c r="H59" s="427"/>
      <c r="I59" s="427"/>
      <c r="J59" s="427"/>
      <c r="K59" s="424"/>
      <c r="L59" s="429"/>
      <c r="M59" s="431"/>
      <c r="N59" s="473"/>
      <c r="O59" s="481"/>
      <c r="P59" s="429"/>
      <c r="Q59" s="431"/>
      <c r="R59" s="486"/>
      <c r="S59" s="125">
        <v>2</v>
      </c>
      <c r="T59" s="259" t="s">
        <v>348</v>
      </c>
      <c r="U59" s="260" t="s">
        <v>154</v>
      </c>
      <c r="V59" s="261" t="s">
        <v>155</v>
      </c>
      <c r="W59" s="261" t="s">
        <v>156</v>
      </c>
      <c r="X59" s="262" t="str">
        <f t="shared" si="89"/>
        <v>40%</v>
      </c>
      <c r="Y59" s="261" t="s">
        <v>157</v>
      </c>
      <c r="Z59" s="261" t="s">
        <v>158</v>
      </c>
      <c r="AA59" s="261" t="s">
        <v>159</v>
      </c>
      <c r="AB59" s="263">
        <f t="shared" ref="AB59" si="94">IFERROR(IF(U59="Probabilidad",(AB58-(+AB58*X59)),IF(U59="Impacto",AB58,"")),"")</f>
        <v>0.216</v>
      </c>
      <c r="AC59" s="269" t="str">
        <f t="shared" si="90"/>
        <v>Baja</v>
      </c>
      <c r="AD59" s="264">
        <f t="shared" si="91"/>
        <v>0.216</v>
      </c>
      <c r="AE59" s="269" t="str">
        <f t="shared" ca="1" si="92"/>
        <v>Mayor</v>
      </c>
      <c r="AF59" s="264">
        <f t="shared" ref="AF59" ca="1" si="95">IFERROR(IF(U59="Impacto",(Q58-(+Q58*X59)),IF(U59="Probabilidad",Q58,"")),"")</f>
        <v>0.8</v>
      </c>
      <c r="AG59" s="265" t="str">
        <f t="shared" ca="1" si="93"/>
        <v>Alto</v>
      </c>
      <c r="AH59" s="266" t="s">
        <v>160</v>
      </c>
      <c r="AI59" s="187"/>
      <c r="AJ59" s="268" t="s">
        <v>33</v>
      </c>
      <c r="AK59" s="188" t="s">
        <v>255</v>
      </c>
      <c r="AL59" s="145"/>
      <c r="AM59" s="278"/>
      <c r="AN59" s="277" t="s">
        <v>165</v>
      </c>
      <c r="AO59" s="267"/>
      <c r="AP59" s="267"/>
      <c r="AQ59" s="267"/>
      <c r="AR59" s="277" t="s">
        <v>208</v>
      </c>
      <c r="AS59" s="277"/>
      <c r="AT59" s="277"/>
      <c r="AU59" s="277" t="s">
        <v>208</v>
      </c>
      <c r="AV59" s="277"/>
      <c r="AW59" s="7"/>
      <c r="AX59" s="7"/>
      <c r="AY59" s="7"/>
      <c r="AZ59" s="7"/>
      <c r="BA59" s="7"/>
      <c r="BB59" s="7"/>
      <c r="BC59" s="7"/>
      <c r="BD59" s="7"/>
      <c r="BE59" s="7"/>
      <c r="BF59" s="7"/>
      <c r="BG59" s="7"/>
      <c r="BH59" s="7"/>
      <c r="BI59" s="7"/>
      <c r="BJ59" s="7"/>
      <c r="BK59" s="7"/>
      <c r="BL59" s="7"/>
      <c r="BM59" s="7"/>
      <c r="BN59" s="7"/>
      <c r="BO59" s="7"/>
      <c r="BP59" s="7"/>
      <c r="BQ59" s="7"/>
      <c r="BR59" s="7"/>
      <c r="BS59" s="7"/>
      <c r="BT59" s="7"/>
    </row>
    <row r="60" spans="1:72" s="165" customFormat="1" ht="103.5" customHeight="1" x14ac:dyDescent="0.3">
      <c r="A60" s="606" t="s">
        <v>27</v>
      </c>
      <c r="B60" s="518" t="s">
        <v>349</v>
      </c>
      <c r="C60" s="606" t="s">
        <v>350</v>
      </c>
      <c r="D60" s="518" t="s">
        <v>32</v>
      </c>
      <c r="E60" s="618">
        <v>1</v>
      </c>
      <c r="F60" s="470" t="s">
        <v>223</v>
      </c>
      <c r="G60" s="466" t="s">
        <v>351</v>
      </c>
      <c r="H60" s="466" t="s">
        <v>570</v>
      </c>
      <c r="I60" s="466" t="s">
        <v>571</v>
      </c>
      <c r="J60" s="466" t="s">
        <v>188</v>
      </c>
      <c r="K60" s="621">
        <v>365</v>
      </c>
      <c r="L60" s="428" t="str">
        <f t="shared" ref="L60" si="96">IF(K60&lt;=0,"",IF(K60&lt;=2,"Muy Baja",IF(K60&lt;=24,"Baja",IF(K60&lt;=500,"Media",IF(K60&lt;=5000,"Alta","Muy Alta")))))</f>
        <v>Media</v>
      </c>
      <c r="M60" s="430">
        <f>IF(L60="","",IF(L60="Muy Baja",0.2,IF(L60="Baja",0.4,IF(L60="Media",0.6,IF(L60="Alta",0.8,IF(L60="Muy Alta",1,))))))</f>
        <v>0.6</v>
      </c>
      <c r="N60" s="473" t="s">
        <v>152</v>
      </c>
      <c r="O60" s="481" t="str">
        <f ca="1">IF(NOT(ISERROR(MATCH(N60,_xlfn.ANCHORARRAY(I89),0))),M92&amp;"Por favor no seleccionar los criterios de impacto",N60)</f>
        <v xml:space="preserve">     El riesgo afecta la imagen de la entidad con algunos usuarios de relevancia frente al logro de los objetivos</v>
      </c>
      <c r="P60" s="428" t="str">
        <f ca="1">IF(OR(O60='[4]Tabla Impacto'!$C$11,O60='[4]Tabla Impacto'!$D$11),"Leve",IF(OR(O60='[4]Tabla Impacto'!$C$12,O60='[4]Tabla Impacto'!$D$12),"Menor",IF(OR(O60='[4]Tabla Impacto'!$C$13,O60='[4]Tabla Impacto'!$D$13),"Moderado",IF(OR(O60='[4]Tabla Impacto'!$C$14,O60='[4]Tabla Impacto'!$D$14),"Mayor",IF(OR(O60='[4]Tabla Impacto'!$C$15,O60='[4]Tabla Impacto'!$D$15),"Catastrófico","")))))</f>
        <v>Moderado</v>
      </c>
      <c r="Q60" s="430">
        <f ca="1">IF(P60="","",IF(P60="Leve",0.2,IF(P60="Menor",0.4,IF(P60="Moderado",0.6,IF(P60="Mayor",0.8,IF(P60="Catastrófico",1,))))))</f>
        <v>0.6</v>
      </c>
      <c r="R60" s="484" t="str">
        <f ca="1">IF(OR(AND(L60="Muy Baja",P60="Leve"),AND(L60="Muy Baja",P60="Menor"),AND(L60="Baja",P60="Leve")),"Bajo",IF(OR(AND(L60="Muy baja",P60="Moderado"),AND(L60="Baja",P60="Menor"),AND(L60="Baja",P60="Moderado"),AND(L60="Media",P60="Leve"),AND(L60="Media",P60="Menor"),AND(L60="Media",P60="Moderado"),AND(L60="Alta",P60="Leve"),AND(L60="Alta",P60="Menor")),"Moderado",IF(OR(AND(L60="Muy Baja",P60="Mayor"),AND(L60="Baja",P60="Mayor"),AND(L60="Media",P60="Mayor"),AND(L60="Alta",P60="Moderado"),AND(L60="Alta",P60="Mayor"),AND(L60="Muy Alta",P60="Leve"),AND(L60="Muy Alta",P60="Menor"),AND(L60="Muy Alta",P60="Moderado"),AND(L60="Muy Alta",P60="Mayor")),"Alto",IF(OR(AND(L60="Muy Baja",P60="Catastrófico"),AND(L60="Baja",P60="Catastrófico"),AND(L60="Media",P60="Catastrófico"),AND(L60="Alta",P60="Catastrófico"),AND(L60="Muy Alta",P60="Catastrófico")),"Extremo",""))))</f>
        <v>Moderado</v>
      </c>
      <c r="S60" s="170">
        <v>1</v>
      </c>
      <c r="T60" s="167" t="s">
        <v>572</v>
      </c>
      <c r="U60" s="171" t="s">
        <v>154</v>
      </c>
      <c r="V60" s="172" t="s">
        <v>155</v>
      </c>
      <c r="W60" s="172" t="s">
        <v>156</v>
      </c>
      <c r="X60" s="173" t="str">
        <f t="shared" ref="X60" si="97">IF(AND(V60="Preventivo",W60="Automático"),"50%",IF(AND(V60="Preventivo",W60="Manual"),"40%",IF(AND(V60="Detectivo",W60="Automático"),"40%",IF(AND(V60="Detectivo",W60="Manual"),"30%",IF(AND(V60="Correctivo",W60="Automático"),"35%",IF(AND(V60="Correctivo",W60="Manual"),"25%",""))))))</f>
        <v>40%</v>
      </c>
      <c r="Y60" s="172" t="s">
        <v>157</v>
      </c>
      <c r="Z60" s="172" t="s">
        <v>158</v>
      </c>
      <c r="AA60" s="172" t="s">
        <v>159</v>
      </c>
      <c r="AB60" s="182">
        <f>IFERROR(IF(AND(U15="Probabilidad",U60="Probabilidad"),(M60-(+M60*X60)),IF(AND(U15="Impacto",U60="Probabilidad"),(M60-(+M60*X60)),IF(U60="Impacto",M60,""))),"")</f>
        <v>0.36</v>
      </c>
      <c r="AC60" s="175" t="str">
        <f t="shared" ref="AC60:AC89" si="98">IFERROR(IF(AB60="","",IF(AB60&lt;=0.2,"Muy Baja",IF(AB60&lt;=0.4,"Baja",IF(AB60&lt;=0.6,"Media",IF(AB60&lt;=0.8,"Alta","Muy Alta"))))),"")</f>
        <v>Baja</v>
      </c>
      <c r="AD60" s="176">
        <f>+AB60</f>
        <v>0.36</v>
      </c>
      <c r="AE60" s="175" t="str">
        <f ca="1">IFERROR(IF(AF60="","",IF(AF60&lt;=0.2,"Leve",IF(AF60&lt;=0.4,"Menor",IF(AF60&lt;=0.6,"Moderado",IF(AF60&lt;=0.8,"Mayor","Catastrófico"))))),"")</f>
        <v>Moderado</v>
      </c>
      <c r="AF60" s="176">
        <f ca="1">IFERROR(IF(AND(U15="Impacto",U60="Impacto"),(AF15-(+AF15*X60)),IF(AND(U15="Probabilidad",U60="Impacto"),(Q60-(+Q60*X60)),IF(U60="Probabilidad",Q60,""))),"")</f>
        <v>0.6</v>
      </c>
      <c r="AG60" s="177" t="str">
        <f t="shared" ref="AG60" ca="1" si="99">IFERROR(IF(OR(AND(AC60="Muy Baja",AE60="Leve"),AND(AC60="Muy Baja",AE60="Menor"),AND(AC60="Baja",AE60="Leve")),"Bajo",IF(OR(AND(AC60="Muy baja",AE60="Moderado"),AND(AC60="Baja",AE60="Menor"),AND(AC60="Baja",AE60="Moderado"),AND(AC60="Media",AE60="Leve"),AND(AC60="Media",AE60="Menor"),AND(AC60="Media",AE60="Moderado"),AND(AC60="Alta",AE60="Leve"),AND(AC60="Alta",AE60="Menor")),"Moderado",IF(OR(AND(AC60="Muy Baja",AE60="Mayor"),AND(AC60="Baja",AE60="Mayor"),AND(AC60="Media",AE60="Mayor"),AND(AC60="Alta",AE60="Moderado"),AND(AC60="Alta",AE60="Mayor"),AND(AC60="Muy Alta",AE60="Leve"),AND(AC60="Muy Alta",AE60="Menor"),AND(AC60="Muy Alta",AE60="Moderado"),AND(AC60="Muy Alta",AE60="Mayor")),"Alto",IF(OR(AND(AC60="Muy Baja",AE60="Catastrófico"),AND(AC60="Baja",AE60="Catastrófico"),AND(AC60="Media",AE60="Catastrófico"),AND(AC60="Alta",AE60="Catastrófico"),AND(AC60="Muy Alta",AE60="Catastrófico")),"Extremo","")))),"")</f>
        <v>Moderado</v>
      </c>
      <c r="AH60" s="266" t="s">
        <v>160</v>
      </c>
      <c r="AI60" s="499" t="s">
        <v>352</v>
      </c>
      <c r="AJ60" s="178" t="s">
        <v>353</v>
      </c>
      <c r="AK60" s="179" t="s">
        <v>354</v>
      </c>
      <c r="AL60" s="180" t="s">
        <v>207</v>
      </c>
      <c r="AM60" s="502" t="s">
        <v>355</v>
      </c>
      <c r="AN60" s="181" t="s">
        <v>165</v>
      </c>
      <c r="AO60" s="181"/>
      <c r="AP60" s="181"/>
      <c r="AQ60" s="181"/>
      <c r="AR60" s="181" t="s">
        <v>208</v>
      </c>
      <c r="AS60" s="181"/>
      <c r="AT60" s="181" t="s">
        <v>208</v>
      </c>
      <c r="AU60" s="181" t="s">
        <v>208</v>
      </c>
      <c r="AV60" s="43"/>
      <c r="AW60" s="164"/>
      <c r="AX60" s="164"/>
      <c r="AY60" s="164"/>
      <c r="AZ60" s="164"/>
      <c r="BA60" s="164"/>
      <c r="BB60" s="164"/>
      <c r="BC60" s="164"/>
      <c r="BD60" s="164"/>
      <c r="BE60" s="164"/>
      <c r="BF60" s="164"/>
      <c r="BG60" s="164"/>
      <c r="BH60" s="164"/>
      <c r="BI60" s="164"/>
      <c r="BJ60" s="164"/>
      <c r="BK60" s="164"/>
      <c r="BL60" s="164"/>
      <c r="BM60" s="164"/>
      <c r="BN60" s="164"/>
      <c r="BO60" s="164"/>
      <c r="BP60" s="164"/>
      <c r="BQ60" s="164" t="s">
        <v>32</v>
      </c>
      <c r="BR60" s="164"/>
      <c r="BS60" s="164"/>
      <c r="BT60" s="164"/>
    </row>
    <row r="61" spans="1:72" s="165" customFormat="1" ht="103.5" customHeight="1" x14ac:dyDescent="0.3">
      <c r="A61" s="607"/>
      <c r="B61" s="519"/>
      <c r="C61" s="607"/>
      <c r="D61" s="519"/>
      <c r="E61" s="619"/>
      <c r="F61" s="480"/>
      <c r="G61" s="426"/>
      <c r="H61" s="426"/>
      <c r="I61" s="426"/>
      <c r="J61" s="426"/>
      <c r="K61" s="621"/>
      <c r="L61" s="483"/>
      <c r="M61" s="481"/>
      <c r="N61" s="473"/>
      <c r="O61" s="481"/>
      <c r="P61" s="483"/>
      <c r="Q61" s="481"/>
      <c r="R61" s="498"/>
      <c r="S61" s="170">
        <v>2</v>
      </c>
      <c r="T61" s="167" t="s">
        <v>356</v>
      </c>
      <c r="U61" s="171" t="s">
        <v>154</v>
      </c>
      <c r="V61" s="172" t="s">
        <v>155</v>
      </c>
      <c r="W61" s="172" t="s">
        <v>156</v>
      </c>
      <c r="X61" s="173" t="str">
        <f t="shared" ref="X61" si="100">IF(AND(V61="Preventivo",W61="Automático"),"50%",IF(AND(V61="Preventivo",W61="Manual"),"40%",IF(AND(V61="Detectivo",W61="Automático"),"40%",IF(AND(V61="Detectivo",W61="Manual"),"30%",IF(AND(V61="Correctivo",W61="Automático"),"35%",IF(AND(V61="Correctivo",W61="Manual"),"25%",""))))))</f>
        <v>40%</v>
      </c>
      <c r="Y61" s="172" t="s">
        <v>157</v>
      </c>
      <c r="Z61" s="172" t="s">
        <v>158</v>
      </c>
      <c r="AA61" s="172" t="s">
        <v>159</v>
      </c>
      <c r="AB61" s="182">
        <f>IFERROR(IF(AND(U16="Probabilidad",U61="Probabilidad"),(AB60-(+AB60*X61)),IF(AND(U16="Impacto",U61="Probabilidad"),(AB60-(+AB60*X61)),IF(U61="Impacto",AB60,""))),"")</f>
        <v>0.216</v>
      </c>
      <c r="AC61" s="175" t="str">
        <f t="shared" ref="AC61" si="101">IFERROR(IF(AB61="","",IF(AB61&lt;=0.2,"Muy Baja",IF(AB61&lt;=0.4,"Baja",IF(AB61&lt;=0.6,"Media",IF(AB61&lt;=0.8,"Alta","Muy Alta"))))),"")</f>
        <v>Baja</v>
      </c>
      <c r="AD61" s="176">
        <f t="shared" ref="AD61" si="102">+AB61</f>
        <v>0.216</v>
      </c>
      <c r="AE61" s="175" t="str">
        <f ca="1">IFERROR(IF(AF61="","",IF(AF61&lt;=0.2,"Leve",IF(AF61&lt;=0.4,"Menor",IF(AF61&lt;=0.6,"Moderado",IF(AF61&lt;=0.8,"Mayor","Catastrófico"))))),"")</f>
        <v>Moderado</v>
      </c>
      <c r="AF61" s="176">
        <f ca="1">IFERROR(IF(AND(U16="Impacto",U61="Impacto"),(AF16-(+AF16*X61)),IF(AND(U16="Probabilidad",U61="Impacto"),(Q60-(+Q60*X61)),IF(U61="Probabilidad",Q60,""))),"")</f>
        <v>0.6</v>
      </c>
      <c r="AG61" s="177" t="str">
        <f t="shared" ref="AG61" ca="1" si="103">IFERROR(IF(OR(AND(AC61="Muy Baja",AE61="Leve"),AND(AC61="Muy Baja",AE61="Menor"),AND(AC61="Baja",AE61="Leve")),"Bajo",IF(OR(AND(AC61="Muy baja",AE61="Moderado"),AND(AC61="Baja",AE61="Menor"),AND(AC61="Baja",AE61="Moderado"),AND(AC61="Media",AE61="Leve"),AND(AC61="Media",AE61="Menor"),AND(AC61="Media",AE61="Moderado"),AND(AC61="Alta",AE61="Leve"),AND(AC61="Alta",AE61="Menor")),"Moderado",IF(OR(AND(AC61="Muy Baja",AE61="Mayor"),AND(AC61="Baja",AE61="Mayor"),AND(AC61="Media",AE61="Mayor"),AND(AC61="Alta",AE61="Moderado"),AND(AC61="Alta",AE61="Mayor"),AND(AC61="Muy Alta",AE61="Leve"),AND(AC61="Muy Alta",AE61="Menor"),AND(AC61="Muy Alta",AE61="Moderado"),AND(AC61="Muy Alta",AE61="Mayor")),"Alto",IF(OR(AND(AC61="Muy Baja",AE61="Catastrófico"),AND(AC61="Baja",AE61="Catastrófico"),AND(AC61="Media",AE61="Catastrófico"),AND(AC61="Alta",AE61="Catastrófico"),AND(AC61="Muy Alta",AE61="Catastrófico")),"Extremo","")))),"")</f>
        <v>Moderado</v>
      </c>
      <c r="AH61" s="266" t="s">
        <v>160</v>
      </c>
      <c r="AI61" s="500"/>
      <c r="AJ61" s="178" t="s">
        <v>353</v>
      </c>
      <c r="AK61" s="179" t="s">
        <v>357</v>
      </c>
      <c r="AL61" s="179" t="s">
        <v>357</v>
      </c>
      <c r="AM61" s="503"/>
      <c r="AN61" s="181" t="s">
        <v>165</v>
      </c>
      <c r="AO61" s="181"/>
      <c r="AP61" s="181"/>
      <c r="AQ61" s="181"/>
      <c r="AR61" s="181" t="s">
        <v>208</v>
      </c>
      <c r="AS61" s="181"/>
      <c r="AT61" s="181" t="s">
        <v>208</v>
      </c>
      <c r="AU61" s="181" t="s">
        <v>208</v>
      </c>
      <c r="AV61" s="43"/>
      <c r="AW61" s="164"/>
      <c r="AX61" s="164"/>
      <c r="AY61" s="164"/>
      <c r="AZ61" s="164"/>
      <c r="BA61" s="164"/>
      <c r="BB61" s="164"/>
      <c r="BC61" s="164"/>
      <c r="BD61" s="164"/>
      <c r="BE61" s="164"/>
      <c r="BF61" s="164"/>
      <c r="BG61" s="164"/>
      <c r="BH61" s="164"/>
      <c r="BI61" s="164"/>
      <c r="BJ61" s="164"/>
      <c r="BK61" s="164"/>
      <c r="BL61" s="164"/>
      <c r="BM61" s="164"/>
      <c r="BN61" s="164"/>
      <c r="BO61" s="164"/>
      <c r="BP61" s="164"/>
      <c r="BQ61" s="164"/>
      <c r="BR61" s="164"/>
      <c r="BS61" s="164"/>
      <c r="BT61" s="164"/>
    </row>
    <row r="62" spans="1:72" s="165" customFormat="1" ht="91.5" customHeight="1" x14ac:dyDescent="0.3">
      <c r="A62" s="607"/>
      <c r="B62" s="519"/>
      <c r="C62" s="607"/>
      <c r="D62" s="519"/>
      <c r="E62" s="620"/>
      <c r="F62" s="489"/>
      <c r="G62" s="427"/>
      <c r="H62" s="427"/>
      <c r="I62" s="427"/>
      <c r="J62" s="427"/>
      <c r="K62" s="621"/>
      <c r="L62" s="429"/>
      <c r="M62" s="431"/>
      <c r="N62" s="482"/>
      <c r="O62" s="431"/>
      <c r="P62" s="429"/>
      <c r="Q62" s="431"/>
      <c r="R62" s="486"/>
      <c r="S62" s="170">
        <v>3</v>
      </c>
      <c r="T62" s="167" t="s">
        <v>358</v>
      </c>
      <c r="U62" s="171" t="s">
        <v>154</v>
      </c>
      <c r="V62" s="172" t="s">
        <v>155</v>
      </c>
      <c r="W62" s="172" t="s">
        <v>156</v>
      </c>
      <c r="X62" s="173" t="str">
        <f t="shared" ref="X62" si="104">IF(AND(V62="Preventivo",W62="Automático"),"50%",IF(AND(V62="Preventivo",W62="Manual"),"40%",IF(AND(V62="Detectivo",W62="Automático"),"40%",IF(AND(V62="Detectivo",W62="Manual"),"30%",IF(AND(V62="Correctivo",W62="Automático"),"35%",IF(AND(V62="Correctivo",W62="Manual"),"25%",""))))))</f>
        <v>40%</v>
      </c>
      <c r="Y62" s="172" t="s">
        <v>157</v>
      </c>
      <c r="Z62" s="172" t="s">
        <v>158</v>
      </c>
      <c r="AA62" s="172" t="s">
        <v>159</v>
      </c>
      <c r="AB62" s="182">
        <f>IFERROR(IF(AND(U17="Probabilidad",U62="Probabilidad"),(AB61-(+AB61*X62)),IF(AND(U17="Impacto",U62="Probabilidad"),(M62-(+AB61*X62)),IF(U62="Impacto",AB61,""))),"")</f>
        <v>0.12959999999999999</v>
      </c>
      <c r="AC62" s="175" t="str">
        <f t="shared" ref="AC62:AC63" si="105">IFERROR(IF(AB62="","",IF(AB62&lt;=0.2,"Muy Baja",IF(AB62&lt;=0.4,"Baja",IF(AB62&lt;=0.6,"Media",IF(AB62&lt;=0.8,"Alta","Muy Alta"))))),"")</f>
        <v>Muy Baja</v>
      </c>
      <c r="AD62" s="176">
        <f t="shared" ref="AD62:AD63" si="106">+AB62</f>
        <v>0.12959999999999999</v>
      </c>
      <c r="AE62" s="175" t="str">
        <f ca="1">IFERROR(IF(AF62="","",IF(AF62&lt;=0.2,"Leve",IF(AF62&lt;=0.4,"Menor",IF(AF62&lt;=0.6,"Moderado",IF(AF62&lt;=0.8,"Mayor","Catastrófico"))))),"")</f>
        <v>Moderado</v>
      </c>
      <c r="AF62" s="176">
        <f ca="1">IFERROR(IF(AND(U17="Impacto",U62="Impacto"),(AF17-(+AF17*X62)),IF(AND(U17="Probabilidad",U62="Impacto"),(Q60-(+Q60*X62)),IF(U62="Probabilidad",Q60,""))),"")</f>
        <v>0.6</v>
      </c>
      <c r="AG62" s="177" t="str">
        <f t="shared" ref="AG62:AG63" ca="1" si="107">IFERROR(IF(OR(AND(AC62="Muy Baja",AE62="Leve"),AND(AC62="Muy Baja",AE62="Menor"),AND(AC62="Baja",AE62="Leve")),"Bajo",IF(OR(AND(AC62="Muy baja",AE62="Moderado"),AND(AC62="Baja",AE62="Menor"),AND(AC62="Baja",AE62="Moderado"),AND(AC62="Media",AE62="Leve"),AND(AC62="Media",AE62="Menor"),AND(AC62="Media",AE62="Moderado"),AND(AC62="Alta",AE62="Leve"),AND(AC62="Alta",AE62="Menor")),"Moderado",IF(OR(AND(AC62="Muy Baja",AE62="Mayor"),AND(AC62="Baja",AE62="Mayor"),AND(AC62="Media",AE62="Mayor"),AND(AC62="Alta",AE62="Moderado"),AND(AC62="Alta",AE62="Mayor"),AND(AC62="Muy Alta",AE62="Leve"),AND(AC62="Muy Alta",AE62="Menor"),AND(AC62="Muy Alta",AE62="Moderado"),AND(AC62="Muy Alta",AE62="Mayor")),"Alto",IF(OR(AND(AC62="Muy Baja",AE62="Catastrófico"),AND(AC62="Baja",AE62="Catastrófico"),AND(AC62="Media",AE62="Catastrófico"),AND(AC62="Alta",AE62="Catastrófico"),AND(AC62="Muy Alta",AE62="Catastrófico")),"Extremo","")))),"")</f>
        <v>Moderado</v>
      </c>
      <c r="AH62" s="266" t="s">
        <v>160</v>
      </c>
      <c r="AI62" s="501"/>
      <c r="AJ62" s="178" t="s">
        <v>353</v>
      </c>
      <c r="AK62" s="180" t="s">
        <v>306</v>
      </c>
      <c r="AL62" s="180" t="s">
        <v>207</v>
      </c>
      <c r="AM62" s="504"/>
      <c r="AN62" s="181" t="s">
        <v>165</v>
      </c>
      <c r="AO62" s="181"/>
      <c r="AP62" s="181"/>
      <c r="AQ62" s="181"/>
      <c r="AR62" s="181" t="s">
        <v>208</v>
      </c>
      <c r="AS62" s="181"/>
      <c r="AT62" s="181" t="s">
        <v>208</v>
      </c>
      <c r="AU62" s="181" t="s">
        <v>208</v>
      </c>
      <c r="AV62" s="43"/>
      <c r="AW62" s="164"/>
      <c r="AX62" s="164"/>
      <c r="AY62" s="164"/>
      <c r="AZ62" s="164"/>
      <c r="BA62" s="164"/>
      <c r="BB62" s="164"/>
      <c r="BC62" s="164"/>
      <c r="BD62" s="164"/>
      <c r="BE62" s="164"/>
      <c r="BF62" s="164"/>
      <c r="BG62" s="164"/>
      <c r="BH62" s="164"/>
      <c r="BI62" s="164"/>
      <c r="BJ62" s="164"/>
      <c r="BK62" s="164"/>
      <c r="BL62" s="164"/>
      <c r="BM62" s="164"/>
      <c r="BN62" s="164"/>
      <c r="BO62" s="164"/>
      <c r="BP62" s="164"/>
      <c r="BQ62" s="164"/>
      <c r="BR62" s="164"/>
      <c r="BS62" s="164"/>
      <c r="BT62" s="164"/>
    </row>
    <row r="63" spans="1:72" s="165" customFormat="1" ht="106.5" customHeight="1" x14ac:dyDescent="0.3">
      <c r="A63" s="607"/>
      <c r="B63" s="519"/>
      <c r="C63" s="607"/>
      <c r="D63" s="519"/>
      <c r="E63" s="618">
        <v>2</v>
      </c>
      <c r="F63" s="470" t="s">
        <v>172</v>
      </c>
      <c r="G63" s="470" t="s">
        <v>351</v>
      </c>
      <c r="H63" s="470" t="s">
        <v>359</v>
      </c>
      <c r="I63" s="466" t="s">
        <v>360</v>
      </c>
      <c r="J63" s="466" t="s">
        <v>188</v>
      </c>
      <c r="K63" s="621">
        <f>380*10</f>
        <v>3800</v>
      </c>
      <c r="L63" s="428" t="str">
        <f t="shared" ref="L63" si="108">IF(K63&lt;=0,"",IF(K63&lt;=2,"Muy Baja",IF(K63&lt;=24,"Baja",IF(K63&lt;=500,"Media",IF(K63&lt;=5000,"Alta","Muy Alta")))))</f>
        <v>Alta</v>
      </c>
      <c r="M63" s="513">
        <f>IF(L63="","",IF(L63="Muy Baja",0.2,IF(L63="Baja",0.4,IF(L63="Media",0.6,IF(L63="Alta",0.8,IF(L63="Muy Alta",1,))))))</f>
        <v>0.8</v>
      </c>
      <c r="N63" s="511" t="s">
        <v>152</v>
      </c>
      <c r="O63" s="509" t="str">
        <f ca="1">IF(NOT(ISERROR(MATCH(N63,'Tabla Impacto'!$B$221:$B$223,0))),'Tabla Impacto'!$F$223&amp;"Por favor no seleccionar los criterios de impacto(Afectación Económica o presupuestal y Pérdida Reputacional)",N63)</f>
        <v xml:space="preserve">     El riesgo afecta la imagen de la entidad con algunos usuarios de relevancia frente al logro de los objetivos</v>
      </c>
      <c r="P63" s="507" t="str">
        <f ca="1">IF(OR(O63='Tabla Impacto'!$C$11,O63='Tabla Impacto'!$D$11),"Leve",IF(OR(O63='Tabla Impacto'!$C$12,O63='Tabla Impacto'!$D$12),"Menor",IF(OR(O63='Tabla Impacto'!$C$13,O63='Tabla Impacto'!$D$13),"Moderado",IF(OR(O63='Tabla Impacto'!$C$14,O63='Tabla Impacto'!$D$14),"Mayor",IF(OR(O63='Tabla Impacto'!$C$15,O63='Tabla Impacto'!$D$15),"Catastrófico","")))))</f>
        <v>Moderado</v>
      </c>
      <c r="Q63" s="608">
        <f ca="1">IF(P63="","",IF(P63="Leve",0.2,IF(P63="Menor",0.4,IF(P63="Moderado",0.6,IF(P63="Mayor",0.8,IF(P63="Catastrófico",1,))))))</f>
        <v>0.6</v>
      </c>
      <c r="R63" s="505" t="str">
        <f ca="1">IF(OR(AND(L63="Muy Baja",P63="Leve"),AND(L63="Muy Baja",P63="Menor"),AND(L63="Baja",P63="Leve")),"Bajo",IF(OR(AND(L63="Muy baja",P63="Moderado"),AND(L63="Baja",P63="Menor"),AND(L63="Baja",P63="Moderado"),AND(L63="Media",P63="Leve"),AND(L63="Media",P63="Menor"),AND(L63="Media",P63="Moderado"),AND(L63="Alta",P63="Leve"),AND(L63="Alta",P63="Menor")),"Moderado",IF(OR(AND(L63="Muy Baja",P63="Mayor"),AND(L63="Baja",P63="Mayor"),AND(L63="Media",P63="Mayor"),AND(L63="Alta",P63="Moderado"),AND(L63="Alta",P63="Mayor"),AND(L63="Muy Alta",P63="Leve"),AND(L63="Muy Alta",P63="Menor"),AND(L63="Muy Alta",P63="Moderado"),AND(L63="Muy Alta",P63="Mayor")),"Alto",IF(OR(AND(L63="Muy Baja",P63="Catastrófico"),AND(L63="Baja",P63="Catastrófico"),AND(L63="Media",P63="Catastrófico"),AND(L63="Alta",P63="Catastrófico"),AND(L63="Muy Alta",P63="Catastrófico")),"Extremo",""))))</f>
        <v>Alto</v>
      </c>
      <c r="S63" s="6">
        <v>1</v>
      </c>
      <c r="T63" s="168" t="s">
        <v>361</v>
      </c>
      <c r="U63" s="184" t="s">
        <v>154</v>
      </c>
      <c r="V63" s="45" t="s">
        <v>155</v>
      </c>
      <c r="W63" s="45" t="s">
        <v>156</v>
      </c>
      <c r="X63" s="46" t="str">
        <f t="shared" ref="X63:X69" si="109">IF(AND(V63="Preventivo",W63="Automático"),"50%",IF(AND(V63="Preventivo",W63="Manual"),"40%",IF(AND(V63="Detectivo",W63="Automático"),"40%",IF(AND(V63="Detectivo",W63="Manual"),"30%",IF(AND(V63="Correctivo",W63="Automático"),"35%",IF(AND(V63="Correctivo",W63="Manual"),"25%",""))))))</f>
        <v>40%</v>
      </c>
      <c r="Y63" s="45" t="s">
        <v>157</v>
      </c>
      <c r="Z63" s="45" t="s">
        <v>158</v>
      </c>
      <c r="AA63" s="45" t="s">
        <v>159</v>
      </c>
      <c r="AB63" s="182">
        <f>IFERROR(IF(AND(U18="Probabilidad",U63="Probabilidad"),(M63-(+M63*X63)),IF(AND(U18="Impacto",U63="Probabilidad"),(M63-(+M63*X63)),IF(U63="Impacto",M63,""))),"")</f>
        <v>0.48</v>
      </c>
      <c r="AC63" s="175" t="str">
        <f t="shared" si="105"/>
        <v>Media</v>
      </c>
      <c r="AD63" s="176">
        <f t="shared" si="106"/>
        <v>0.48</v>
      </c>
      <c r="AE63" s="175" t="str">
        <f ca="1">IFERROR(IF(AF63="","",IF(AF63&lt;=0.2,"Leve",IF(AF63&lt;=0.4,"Menor",IF(AF63&lt;=0.6,"Moderado",IF(AF63&lt;=0.8,"Mayor","Catastrófico"))))),"")</f>
        <v>Moderado</v>
      </c>
      <c r="AF63" s="176">
        <f ca="1">IFERROR(IF(AND(U18="Impacto",U63="Impacto"),(AF18-(+AF18*X63)),IF(AND(U18="Probabilidad",U63="Impacto"),(Q63-(+Q63*X63)),IF(U63="Probabilidad",Q63,""))),"")</f>
        <v>0.6</v>
      </c>
      <c r="AG63" s="177" t="str">
        <f t="shared" ca="1" si="107"/>
        <v>Moderado</v>
      </c>
      <c r="AH63" s="266" t="s">
        <v>160</v>
      </c>
      <c r="AI63" s="48" t="s">
        <v>278</v>
      </c>
      <c r="AJ63" s="48" t="s">
        <v>353</v>
      </c>
      <c r="AK63" s="49" t="s">
        <v>306</v>
      </c>
      <c r="AL63" s="49" t="s">
        <v>306</v>
      </c>
      <c r="AM63" s="470" t="s">
        <v>362</v>
      </c>
      <c r="AN63" s="43" t="s">
        <v>165</v>
      </c>
      <c r="AO63" s="163"/>
      <c r="AP63" s="163"/>
      <c r="AQ63" s="163"/>
      <c r="AR63" s="43" t="s">
        <v>208</v>
      </c>
      <c r="AS63" s="43"/>
      <c r="AT63" s="43" t="s">
        <v>208</v>
      </c>
      <c r="AU63" s="43" t="s">
        <v>208</v>
      </c>
      <c r="AV63" s="43"/>
      <c r="AW63" s="164"/>
      <c r="AX63" s="164"/>
      <c r="AY63" s="164"/>
      <c r="AZ63" s="164"/>
      <c r="BA63" s="164"/>
      <c r="BB63" s="164"/>
      <c r="BC63" s="164"/>
      <c r="BD63" s="164"/>
      <c r="BE63" s="164"/>
      <c r="BF63" s="164"/>
      <c r="BG63" s="164"/>
      <c r="BH63" s="164"/>
      <c r="BI63" s="164"/>
      <c r="BJ63" s="164"/>
      <c r="BK63" s="164"/>
      <c r="BL63" s="164"/>
      <c r="BM63" s="164"/>
      <c r="BN63" s="164"/>
      <c r="BO63" s="164"/>
      <c r="BP63" s="164"/>
      <c r="BQ63" s="164" t="s">
        <v>33</v>
      </c>
      <c r="BR63" s="164"/>
      <c r="BS63" s="164"/>
      <c r="BT63" s="164"/>
    </row>
    <row r="64" spans="1:72" s="165" customFormat="1" ht="94.5" customHeight="1" x14ac:dyDescent="0.3">
      <c r="A64" s="607"/>
      <c r="B64" s="519"/>
      <c r="C64" s="607"/>
      <c r="D64" s="519"/>
      <c r="E64" s="619"/>
      <c r="F64" s="480"/>
      <c r="G64" s="480"/>
      <c r="H64" s="480"/>
      <c r="I64" s="426"/>
      <c r="J64" s="426"/>
      <c r="K64" s="621"/>
      <c r="L64" s="483"/>
      <c r="M64" s="514"/>
      <c r="N64" s="512"/>
      <c r="O64" s="510"/>
      <c r="P64" s="508"/>
      <c r="Q64" s="609"/>
      <c r="R64" s="506"/>
      <c r="S64" s="6">
        <v>2</v>
      </c>
      <c r="T64" s="168" t="s">
        <v>363</v>
      </c>
      <c r="U64" s="184" t="s">
        <v>154</v>
      </c>
      <c r="V64" s="45" t="s">
        <v>155</v>
      </c>
      <c r="W64" s="45" t="s">
        <v>295</v>
      </c>
      <c r="X64" s="46" t="str">
        <f t="shared" si="109"/>
        <v>50%</v>
      </c>
      <c r="Y64" s="45" t="s">
        <v>157</v>
      </c>
      <c r="Z64" s="45" t="s">
        <v>158</v>
      </c>
      <c r="AA64" s="45" t="s">
        <v>159</v>
      </c>
      <c r="AB64" s="174">
        <f>IFERROR(IF(AND(U19="Probabilidad",U64="Probabilidad"),(AB63-(+AB63*X64)),IF(AND(U19="Impacto",U64="Probabilidad"),(AB63-(+AB63*X64)),IF(U64="Impacto",AB63,""))),"")</f>
        <v>0.24</v>
      </c>
      <c r="AC64" s="175" t="str">
        <f t="shared" ref="AC64" si="110">IFERROR(IF(AB64="","",IF(AB64&lt;=0.2,"Muy Baja",IF(AB64&lt;=0.4,"Baja",IF(AB64&lt;=0.6,"Media",IF(AB64&lt;=0.8,"Alta","Muy Alta"))))),"")</f>
        <v>Baja</v>
      </c>
      <c r="AD64" s="176">
        <f t="shared" ref="AD64" si="111">+AB64</f>
        <v>0.24</v>
      </c>
      <c r="AE64" s="175" t="str">
        <f ca="1">IFERROR(IF(AF64="","",IF(AF64&lt;=0.2,"Leve",IF(AF64&lt;=0.4,"Menor",IF(AF64&lt;=0.6,"Moderado",IF(AF64&lt;=0.8,"Mayor","Catastrófico"))))),"")</f>
        <v>Moderado</v>
      </c>
      <c r="AF64" s="176">
        <f ca="1">IFERROR(IF(AND(U19="Impacto",U64="Impacto"),(AF19-(+AF19*X64)),IF(AND(U19="Probabilidad",U64="Impacto"),(Q63-(+Q63*X64)),IF(U64="Probabilidad",Q63,""))),"")</f>
        <v>0.6</v>
      </c>
      <c r="AG64" s="177" t="str">
        <f t="shared" ref="AG64" ca="1" si="112">IFERROR(IF(OR(AND(AC64="Muy Baja",AE64="Leve"),AND(AC64="Muy Baja",AE64="Menor"),AND(AC64="Baja",AE64="Leve")),"Bajo",IF(OR(AND(AC64="Muy baja",AE64="Moderado"),AND(AC64="Baja",AE64="Menor"),AND(AC64="Baja",AE64="Moderado"),AND(AC64="Media",AE64="Leve"),AND(AC64="Media",AE64="Menor"),AND(AC64="Media",AE64="Moderado"),AND(AC64="Alta",AE64="Leve"),AND(AC64="Alta",AE64="Menor")),"Moderado",IF(OR(AND(AC64="Muy Baja",AE64="Mayor"),AND(AC64="Baja",AE64="Mayor"),AND(AC64="Media",AE64="Mayor"),AND(AC64="Alta",AE64="Moderado"),AND(AC64="Alta",AE64="Mayor"),AND(AC64="Muy Alta",AE64="Leve"),AND(AC64="Muy Alta",AE64="Menor"),AND(AC64="Muy Alta",AE64="Moderado"),AND(AC64="Muy Alta",AE64="Mayor")),"Alto",IF(OR(AND(AC64="Muy Baja",AE64="Catastrófico"),AND(AC64="Baja",AE64="Catastrófico"),AND(AC64="Media",AE64="Catastrófico"),AND(AC64="Alta",AE64="Catastrófico"),AND(AC64="Muy Alta",AE64="Catastrófico")),"Extremo","")))),"")</f>
        <v>Moderado</v>
      </c>
      <c r="AH64" s="266" t="s">
        <v>160</v>
      </c>
      <c r="AI64" s="48" t="s">
        <v>278</v>
      </c>
      <c r="AJ64" s="48" t="s">
        <v>353</v>
      </c>
      <c r="AK64" s="140" t="s">
        <v>364</v>
      </c>
      <c r="AL64" s="140" t="s">
        <v>207</v>
      </c>
      <c r="AM64" s="480"/>
      <c r="AN64" s="43" t="s">
        <v>165</v>
      </c>
      <c r="AO64" s="163"/>
      <c r="AP64" s="163"/>
      <c r="AQ64" s="163"/>
      <c r="AR64" s="43" t="s">
        <v>208</v>
      </c>
      <c r="AS64" s="43"/>
      <c r="AT64" s="43" t="s">
        <v>208</v>
      </c>
      <c r="AU64" s="43" t="s">
        <v>208</v>
      </c>
      <c r="AV64" s="43"/>
      <c r="AW64" s="164"/>
      <c r="AX64" s="164"/>
      <c r="AY64" s="164"/>
      <c r="AZ64" s="164"/>
      <c r="BA64" s="164"/>
      <c r="BB64" s="164"/>
      <c r="BC64" s="164"/>
      <c r="BD64" s="164"/>
      <c r="BE64" s="164"/>
      <c r="BF64" s="164"/>
      <c r="BG64" s="164"/>
      <c r="BH64" s="164"/>
      <c r="BI64" s="164"/>
      <c r="BJ64" s="164"/>
      <c r="BK64" s="164"/>
      <c r="BL64" s="164"/>
      <c r="BM64" s="164"/>
      <c r="BN64" s="164"/>
      <c r="BO64" s="164"/>
      <c r="BP64" s="164"/>
      <c r="BQ64" s="164"/>
      <c r="BR64" s="164"/>
      <c r="BS64" s="164"/>
      <c r="BT64" s="164"/>
    </row>
    <row r="65" spans="1:72" s="165" customFormat="1" ht="102" customHeight="1" x14ac:dyDescent="0.3">
      <c r="A65" s="607"/>
      <c r="B65" s="519"/>
      <c r="C65" s="607"/>
      <c r="D65" s="519"/>
      <c r="E65" s="619"/>
      <c r="F65" s="480"/>
      <c r="G65" s="480"/>
      <c r="H65" s="480"/>
      <c r="I65" s="426"/>
      <c r="J65" s="426"/>
      <c r="K65" s="621"/>
      <c r="L65" s="483"/>
      <c r="M65" s="514"/>
      <c r="N65" s="512"/>
      <c r="O65" s="510"/>
      <c r="P65" s="508"/>
      <c r="Q65" s="609"/>
      <c r="R65" s="506"/>
      <c r="S65" s="303">
        <v>3</v>
      </c>
      <c r="T65" s="168" t="s">
        <v>365</v>
      </c>
      <c r="U65" s="191" t="s">
        <v>154</v>
      </c>
      <c r="V65" s="186" t="s">
        <v>169</v>
      </c>
      <c r="W65" s="186" t="s">
        <v>156</v>
      </c>
      <c r="X65" s="185" t="str">
        <f t="shared" si="109"/>
        <v>30%</v>
      </c>
      <c r="Y65" s="186" t="s">
        <v>157</v>
      </c>
      <c r="Z65" s="186" t="s">
        <v>158</v>
      </c>
      <c r="AA65" s="186" t="s">
        <v>159</v>
      </c>
      <c r="AB65" s="192">
        <f>IFERROR(IF(AND(U29="Probabilidad",U65="Probabilidad"),(AB64-(+AB64*X65)),IF(AND(U29="Impacto",U65="Probabilidad"),(AB64-(+AB64*X65)),IF(U65="Impacto",AB64,""))),"")</f>
        <v>0.16799999999999998</v>
      </c>
      <c r="AC65" s="193" t="str">
        <f t="shared" ref="AC65:AC69" si="113">IFERROR(IF(AB65="","",IF(AB65&lt;=0.2,"Muy Baja",IF(AB65&lt;=0.4,"Baja",IF(AB65&lt;=0.6,"Media",IF(AB65&lt;=0.8,"Alta","Muy Alta"))))),"")</f>
        <v>Muy Baja</v>
      </c>
      <c r="AD65" s="169">
        <f t="shared" ref="AD65:AD69" si="114">+AB65</f>
        <v>0.16799999999999998</v>
      </c>
      <c r="AE65" s="193" t="str">
        <f t="shared" ref="AE65:AE69" ca="1" si="115">IFERROR(IF(AF65="","",IF(AF65&lt;=0.2,"Leve",IF(AF65&lt;=0.4,"Menor",IF(AF65&lt;=0.6,"Moderado",IF(AF65&lt;=0.8,"Mayor","Catastrófico"))))),"")</f>
        <v>Moderado</v>
      </c>
      <c r="AF65" s="169">
        <f ca="1">IFERROR(IF(U65="Impacto",(Q63-(+Q63*X65)),IF(U65="Probabilidad",Q63,"")),"")</f>
        <v>0.6</v>
      </c>
      <c r="AG65" s="194" t="str">
        <f t="shared" ref="AG65:AG69" ca="1" si="116">IFERROR(IF(OR(AND(AC65="Muy Baja",AE65="Leve"),AND(AC65="Muy Baja",AE65="Menor"),AND(AC65="Baja",AE65="Leve")),"Bajo",IF(OR(AND(AC65="Muy baja",AE65="Moderado"),AND(AC65="Baja",AE65="Menor"),AND(AC65="Baja",AE65="Moderado"),AND(AC65="Media",AE65="Leve"),AND(AC65="Media",AE65="Menor"),AND(AC65="Media",AE65="Moderado"),AND(AC65="Alta",AE65="Leve"),AND(AC65="Alta",AE65="Menor")),"Moderado",IF(OR(AND(AC65="Muy Baja",AE65="Mayor"),AND(AC65="Baja",AE65="Mayor"),AND(AC65="Media",AE65="Mayor"),AND(AC65="Alta",AE65="Moderado"),AND(AC65="Alta",AE65="Mayor"),AND(AC65="Muy Alta",AE65="Leve"),AND(AC65="Muy Alta",AE65="Menor"),AND(AC65="Muy Alta",AE65="Moderado"),AND(AC65="Muy Alta",AE65="Mayor")),"Alto",IF(OR(AND(AC65="Muy Baja",AE65="Catastrófico"),AND(AC65="Baja",AE65="Catastrófico"),AND(AC65="Media",AE65="Catastrófico"),AND(AC65="Alta",AE65="Catastrófico"),AND(AC65="Muy Alta",AE65="Catastrófico")),"Extremo","")))),"")</f>
        <v>Moderado</v>
      </c>
      <c r="AH65" s="266" t="s">
        <v>160</v>
      </c>
      <c r="AI65" s="297" t="s">
        <v>278</v>
      </c>
      <c r="AJ65" s="297" t="s">
        <v>353</v>
      </c>
      <c r="AK65" s="195" t="s">
        <v>207</v>
      </c>
      <c r="AL65" s="195" t="s">
        <v>207</v>
      </c>
      <c r="AM65" s="480"/>
      <c r="AN65" s="300" t="s">
        <v>165</v>
      </c>
      <c r="AO65" s="183"/>
      <c r="AP65" s="183"/>
      <c r="AQ65" s="183"/>
      <c r="AR65" s="300" t="s">
        <v>208</v>
      </c>
      <c r="AS65" s="300"/>
      <c r="AT65" s="300" t="s">
        <v>208</v>
      </c>
      <c r="AU65" s="300" t="s">
        <v>208</v>
      </c>
      <c r="AV65" s="300"/>
      <c r="AW65" s="164"/>
      <c r="AX65" s="164"/>
      <c r="AY65" s="164"/>
      <c r="AZ65" s="164"/>
      <c r="BA65" s="164"/>
      <c r="BB65" s="164"/>
      <c r="BC65" s="164"/>
      <c r="BD65" s="164"/>
      <c r="BE65" s="164"/>
      <c r="BF65" s="164"/>
      <c r="BG65" s="164"/>
      <c r="BH65" s="164"/>
      <c r="BI65" s="164"/>
      <c r="BJ65" s="164"/>
      <c r="BK65" s="164"/>
      <c r="BL65" s="164"/>
      <c r="BM65" s="164"/>
      <c r="BN65" s="164"/>
      <c r="BO65" s="164"/>
      <c r="BP65" s="164"/>
      <c r="BQ65" s="164"/>
      <c r="BR65" s="164"/>
      <c r="BS65" s="164"/>
      <c r="BT65" s="164"/>
    </row>
    <row r="66" spans="1:72" s="165" customFormat="1" ht="160.5" customHeight="1" x14ac:dyDescent="0.3">
      <c r="A66" s="612" t="s">
        <v>29</v>
      </c>
      <c r="B66" s="610" t="s">
        <v>366</v>
      </c>
      <c r="C66" s="615" t="s">
        <v>367</v>
      </c>
      <c r="D66" s="610" t="s">
        <v>32</v>
      </c>
      <c r="E66" s="206">
        <v>1</v>
      </c>
      <c r="F66" s="221" t="s">
        <v>172</v>
      </c>
      <c r="G66" s="282" t="s">
        <v>351</v>
      </c>
      <c r="H66" s="282" t="s">
        <v>368</v>
      </c>
      <c r="I66" s="282" t="s">
        <v>369</v>
      </c>
      <c r="J66" s="282" t="s">
        <v>568</v>
      </c>
      <c r="K66" s="282">
        <v>45</v>
      </c>
      <c r="L66" s="280" t="str">
        <f t="shared" ref="L66:L69" si="117">IF(K66&lt;=0,"",IF(K66&lt;=2,"Muy Baja",IF(K66&lt;=24,"Baja",IF(K66&lt;=500,"Media",IF(K66&lt;=5000,"Alta","Muy Alta")))))</f>
        <v>Media</v>
      </c>
      <c r="M66" s="281">
        <f>IF(L66="","",IF(L66="Muy Baja",0.2,IF(L66="Baja",0.4,IF(L66="Media",0.6,IF(L66="Alta",0.8,IF(L66="Muy Alta",1,))))))</f>
        <v>0.6</v>
      </c>
      <c r="N66" s="282" t="str">
        <f>'Tabla Impacto'!D5</f>
        <v>El riesgo afecta la imagen de la entidad internamente, de conocimiento general, nivel interno, de junta dircetiva y accionistas y/o de provedores</v>
      </c>
      <c r="O66" s="281" t="str">
        <f ca="1">IF(NOT(ISERROR(MATCH(N66,_xlfn.ANCHORARRAY(I90),0))),M92&amp;"Por favor no seleccionar los criterios de impacto",N66)</f>
        <v>El riesgo afecta la imagen de la entidad internamente, de conocimiento general, nivel interno, de junta dircetiva y accionistas y/o de provedores</v>
      </c>
      <c r="P66" s="280" t="str">
        <f ca="1">IF(OR(O66='Tabla Impacto'!$C$4,O66='Tabla Impacto'!$D$4),"Leve",IF(OR(O66='Tabla Impacto'!$C$5,O66='Tabla Impacto'!$D$5),"Menor",IF(OR(O66='Tabla Impacto'!$C$6,O66='Tabla Impacto'!$D$6),"Moderado",IF(OR(O66='Tabla Impacto'!$C$7,O66='Tabla Impacto'!$D$7),"Mayor",IF(OR(O66='Tabla Impacto'!$C$8,O66='Tabla Impacto'!$D$8),"Catastrófico","")))))</f>
        <v>Menor</v>
      </c>
      <c r="Q66" s="281">
        <f ca="1">IF(P66="","",IF(P66="Leve",0.2,IF(P66="Menor",0.4,IF(P66="Moderado",0.6,IF(P66="Mayor",0.8,IF(P66="Catastrófico",1,))))))</f>
        <v>0.4</v>
      </c>
      <c r="R66" s="283" t="str">
        <f ca="1">IF(OR(AND(L66="Muy Baja",P66="Leve"),AND(L66="Muy Baja",P66="Menor"),AND(L66="Baja",P66="Leve")),"Bajo",IF(OR(AND(L66="Muy baja",P66="Moderado"),AND(L66="Baja",P66="Menor"),AND(L66="Baja",P66="Moderado"),AND(L66="Media",P66="Leve"),AND(L66="Media",P66="Menor"),AND(L66="Media",P66="Moderado"),AND(L66="Alta",P66="Leve"),AND(L66="Alta",P66="Menor")),"Moderado",IF(OR(AND(L66="Muy Baja",P66="Mayor"),AND(L66="Baja",P66="Mayor"),AND(L66="Media",P66="Mayor"),AND(L66="Alta",P66="Moderado"),AND(L66="Alta",P66="Mayor"),AND(L66="Muy Alta",P66="Leve"),AND(L66="Muy Alta",P66="Menor"),AND(L66="Muy Alta",P66="Moderado"),AND(L66="Muy Alta",P66="Mayor")),"Alto",IF(OR(AND(L66="Muy Baja",P66="Catastrófico"),AND(L66="Baja",P66="Catastrófico"),AND(L66="Media",P66="Catastrófico"),AND(L66="Alta",P66="Catastrófico"),AND(L66="Muy Alta",P66="Catastrófico")),"Extremo",""))))</f>
        <v>Moderado</v>
      </c>
      <c r="S66" s="207">
        <v>1</v>
      </c>
      <c r="T66" s="208" t="s">
        <v>372</v>
      </c>
      <c r="U66" s="209" t="s">
        <v>154</v>
      </c>
      <c r="V66" s="210" t="s">
        <v>169</v>
      </c>
      <c r="W66" s="210" t="s">
        <v>156</v>
      </c>
      <c r="X66" s="211" t="str">
        <f t="shared" si="109"/>
        <v>30%</v>
      </c>
      <c r="Y66" s="210" t="s">
        <v>157</v>
      </c>
      <c r="Z66" s="210" t="s">
        <v>158</v>
      </c>
      <c r="AA66" s="210" t="s">
        <v>159</v>
      </c>
      <c r="AB66" s="212">
        <f t="shared" ref="AB66" si="118">IFERROR(IF(U66="Probabilidad",(AB65-(+AB65*X66)),IF(U66="Impacto",AB65,"")),"")</f>
        <v>0.11759999999999998</v>
      </c>
      <c r="AC66" s="213" t="str">
        <f t="shared" si="113"/>
        <v>Muy Baja</v>
      </c>
      <c r="AD66" s="214">
        <f t="shared" si="114"/>
        <v>0.11759999999999998</v>
      </c>
      <c r="AE66" s="213" t="str">
        <f t="shared" ca="1" si="115"/>
        <v>Menor</v>
      </c>
      <c r="AF66" s="214">
        <f ca="1">IFERROR(IF(U66="Impacto",(Q66-(+Q66*X66)),IF(U66="Probabilidad",Q66,"")),"")</f>
        <v>0.4</v>
      </c>
      <c r="AG66" s="215" t="str">
        <f t="shared" ca="1" si="116"/>
        <v>Bajo</v>
      </c>
      <c r="AH66" s="216" t="s">
        <v>160</v>
      </c>
      <c r="AI66" s="217"/>
      <c r="AJ66" s="217" t="s">
        <v>353</v>
      </c>
      <c r="AK66" s="218" t="s">
        <v>373</v>
      </c>
      <c r="AL66" s="218" t="s">
        <v>220</v>
      </c>
      <c r="AM66" s="218" t="s">
        <v>220</v>
      </c>
      <c r="AN66" s="219" t="s">
        <v>165</v>
      </c>
      <c r="AO66" s="219"/>
      <c r="AP66" s="219"/>
      <c r="AQ66" s="219"/>
      <c r="AR66" s="219" t="s">
        <v>166</v>
      </c>
      <c r="AS66" s="219" t="s">
        <v>166</v>
      </c>
      <c r="AT66" s="219" t="s">
        <v>166</v>
      </c>
      <c r="AU66" s="219" t="s">
        <v>166</v>
      </c>
      <c r="AV66" s="219" t="s">
        <v>166</v>
      </c>
      <c r="AW66" s="164"/>
      <c r="AX66" s="164"/>
      <c r="AY66" s="164"/>
      <c r="AZ66" s="164"/>
      <c r="BA66" s="164"/>
      <c r="BB66" s="164"/>
      <c r="BC66" s="164"/>
      <c r="BD66" s="164"/>
      <c r="BE66" s="164"/>
      <c r="BF66" s="164"/>
      <c r="BG66" s="164"/>
      <c r="BH66" s="164"/>
      <c r="BI66" s="164"/>
      <c r="BJ66" s="164"/>
      <c r="BK66" s="164"/>
      <c r="BL66" s="164"/>
      <c r="BM66" s="164"/>
      <c r="BN66" s="164"/>
      <c r="BO66" s="164"/>
      <c r="BP66" s="164"/>
      <c r="BQ66" s="164" t="s">
        <v>374</v>
      </c>
      <c r="BR66" s="164"/>
      <c r="BS66" s="164"/>
      <c r="BT66" s="164"/>
    </row>
    <row r="67" spans="1:72" s="165" customFormat="1" ht="160.5" customHeight="1" x14ac:dyDescent="0.3">
      <c r="A67" s="613"/>
      <c r="B67" s="519"/>
      <c r="C67" s="616"/>
      <c r="D67" s="519"/>
      <c r="E67" s="313">
        <v>2</v>
      </c>
      <c r="F67" s="256" t="s">
        <v>223</v>
      </c>
      <c r="G67" s="256" t="s">
        <v>542</v>
      </c>
      <c r="H67" s="256" t="s">
        <v>543</v>
      </c>
      <c r="I67" s="314" t="s">
        <v>544</v>
      </c>
      <c r="J67" s="223" t="s">
        <v>568</v>
      </c>
      <c r="K67" s="223">
        <v>24</v>
      </c>
      <c r="L67" s="225" t="str">
        <f t="shared" si="117"/>
        <v>Baja</v>
      </c>
      <c r="M67" s="226">
        <f>IF(L67="","",IF(L67="Muy Baja",0.2,IF(L67="Baja",0.4,IF(L67="Media",0.6,IF(L67="Alta",0.8,IF(L67="Muy Alta",1,))))))</f>
        <v>0.4</v>
      </c>
      <c r="N67" s="286" t="s">
        <v>497</v>
      </c>
      <c r="O67" s="285" t="str">
        <f ca="1">IF(NOT(ISERROR(MATCH(N67,_xlfn.ANCHORARRAY(I91),0))),M93&amp;"Por favor no seleccionar los criterios de impacto",N67)</f>
        <v>El riesgo afecta la imagen de la entidad con algunos usuarios de relevancia frente al logro de los objetivos</v>
      </c>
      <c r="P67" s="280" t="str">
        <f ca="1">IF(OR(O67='Tabla Impacto'!C4,'Mapa final'!O67='Tabla Impacto'!D4),"Leve",IF(OR(O67='Tabla Impacto'!C5,'Mapa final'!O67='Tabla Impacto'!$D$5),"Menor",IF(OR(O67='Tabla Impacto'!$C$6,'Mapa final'!O67='Tabla Impacto'!$D$6),"Moderado",IF(OR(O67='Tabla Impacto'!$C$7,'Mapa final'!O67='Tabla Impacto'!$D$7),"Mayor",IF(OR(O67='Tabla Impacto'!$C$8,'Mapa final'!O67='Tabla Impacto'!$D$8),"Catastrófico","")))))</f>
        <v>Moderado</v>
      </c>
      <c r="Q67" s="226">
        <f ca="1">IF(P67="","",IF(P67="Leve",0.2,IF(P67="Menor",0.4,IF(P67="Moderado",0.6,IF(P67="Mayor",0.8,IF(P67="Catastrófico",1,))))))</f>
        <v>0.6</v>
      </c>
      <c r="R67" s="227" t="str">
        <f ca="1">IF(OR(AND(L67="Muy Baja",P67="Leve"),AND(L67="Muy Baja",P67="Menor"),AND(L67="Baja",P67="Leve")),"Bajo",IF(OR(AND(L67="Muy baja",P67="Moderado"),AND(L67="Baja",P67="Menor"),AND(L67="Baja",P67="Moderado"),AND(L67="Media",P67="Leve"),AND(L67="Media",P67="Menor"),AND(L67="Media",P67="Moderado"),AND(L67="Alta",P67="Leve"),AND(L67="Alta",P67="Menor")),"Moderado",IF(OR(AND(L67="Muy Baja",P67="Mayor"),AND(L67="Baja",P67="Mayor"),AND(L67="Media",P67="Mayor"),AND(L67="Alta",P67="Moderado"),AND(L67="Alta",P67="Mayor"),AND(L67="Muy Alta",P67="Leve"),AND(L67="Muy Alta",P67="Menor"),AND(L67="Muy Alta",P67="Moderado"),AND(L67="Muy Alta",P67="Mayor")),"Alto",IF(OR(AND(L67="Muy Baja",P67="Catastrófico"),AND(L67="Baja",P67="Catastrófico"),AND(L67="Media",P67="Catastrófico"),AND(L67="Alta",P67="Catastrófico"),AND(L67="Muy Alta",P67="Catastrófico")),"Extremo",""))))</f>
        <v>Moderado</v>
      </c>
      <c r="S67" s="312">
        <v>1</v>
      </c>
      <c r="T67" s="237" t="s">
        <v>545</v>
      </c>
      <c r="U67" s="230" t="s">
        <v>154</v>
      </c>
      <c r="V67" s="205" t="s">
        <v>155</v>
      </c>
      <c r="W67" s="231" t="s">
        <v>156</v>
      </c>
      <c r="X67" s="232" t="str">
        <f>IF(AND(V67="Preventivo",W67="Automático"),"50%",IF(AND(V67="Preventivo",W67="Manual"),"40%",IF(AND(V67="Detectivo",W67="Automático"),"40%",IF(AND(V67="Detectivo",W67="Manual"),"30%",IF(AND(V67="Correctivo",W67="Automático"),"35%",IF(AND(V67="Correctivo",W67="Manual"),"25%",""))))))</f>
        <v>40%</v>
      </c>
      <c r="Y67" s="231" t="s">
        <v>157</v>
      </c>
      <c r="Z67" s="231" t="s">
        <v>158</v>
      </c>
      <c r="AA67" s="231" t="s">
        <v>159</v>
      </c>
      <c r="AB67" s="233">
        <f>IFERROR(IF(U67="Probabilidad",(M67-(+M67*X67)),IF(U="Impacto",M67,"")),"")</f>
        <v>0.24</v>
      </c>
      <c r="AC67" s="234" t="str">
        <f>IFERROR(IF(AB67="","",IF(AB67&lt;=0.2,"Muy Baja",IF(AB67&lt;=0.4,"Baja",IF(AB67&lt;=0.6,"Media",IF(AB67&lt;=0.8,"Alta","Muy Alta"))))),"")</f>
        <v>Baja</v>
      </c>
      <c r="AD67" s="232">
        <f t="shared" si="114"/>
        <v>0.24</v>
      </c>
      <c r="AE67" s="234" t="str">
        <f t="shared" ca="1" si="115"/>
        <v>Moderado</v>
      </c>
      <c r="AF67" s="232">
        <f t="shared" ref="AF67:AF68" ca="1" si="119">IFERROR(IF(U67="Impacto",(Q67-(+Q67*X67)),IF(U67="Probabilidad",Q67,"")),"")</f>
        <v>0.6</v>
      </c>
      <c r="AG67" s="235" t="str">
        <f t="shared" ca="1" si="116"/>
        <v>Moderado</v>
      </c>
      <c r="AH67" s="236" t="s">
        <v>160</v>
      </c>
      <c r="AI67" s="237"/>
      <c r="AJ67" s="237" t="s">
        <v>353</v>
      </c>
      <c r="AK67" s="238" t="s">
        <v>546</v>
      </c>
      <c r="AL67" s="238" t="s">
        <v>220</v>
      </c>
      <c r="AM67" s="238" t="s">
        <v>220</v>
      </c>
      <c r="AN67" s="239" t="s">
        <v>165</v>
      </c>
      <c r="AO67" s="239"/>
      <c r="AP67" s="239"/>
      <c r="AQ67" s="239"/>
      <c r="AR67" s="239"/>
      <c r="AS67" s="239"/>
      <c r="AT67" s="239" t="s">
        <v>208</v>
      </c>
      <c r="AU67" s="239" t="s">
        <v>208</v>
      </c>
      <c r="AV67" s="239"/>
      <c r="AW67" s="164"/>
      <c r="AX67" s="164"/>
      <c r="AY67" s="164"/>
      <c r="AZ67" s="164"/>
      <c r="BA67" s="164"/>
      <c r="BB67" s="164"/>
      <c r="BC67" s="164"/>
      <c r="BD67" s="164"/>
      <c r="BE67" s="164"/>
      <c r="BF67" s="164"/>
      <c r="BG67" s="164"/>
      <c r="BH67" s="164"/>
      <c r="BI67" s="164"/>
      <c r="BJ67" s="164"/>
      <c r="BK67" s="164"/>
      <c r="BL67" s="164"/>
      <c r="BM67" s="164"/>
      <c r="BN67" s="164"/>
      <c r="BO67" s="164"/>
      <c r="BP67" s="164"/>
      <c r="BQ67" s="164"/>
      <c r="BR67" s="164"/>
      <c r="BS67" s="164"/>
      <c r="BT67" s="164"/>
    </row>
    <row r="68" spans="1:72" s="165" customFormat="1" ht="160.5" customHeight="1" x14ac:dyDescent="0.3">
      <c r="A68" s="613"/>
      <c r="B68" s="519"/>
      <c r="C68" s="616"/>
      <c r="D68" s="519"/>
      <c r="E68" s="313">
        <v>3</v>
      </c>
      <c r="F68" s="256" t="s">
        <v>223</v>
      </c>
      <c r="G68" s="256" t="s">
        <v>573</v>
      </c>
      <c r="H68" s="256" t="s">
        <v>547</v>
      </c>
      <c r="I68" s="314" t="s">
        <v>574</v>
      </c>
      <c r="J68" s="223" t="s">
        <v>568</v>
      </c>
      <c r="K68" s="190">
        <v>540</v>
      </c>
      <c r="L68" s="225" t="str">
        <f t="shared" si="117"/>
        <v>Alta</v>
      </c>
      <c r="M68" s="226">
        <f>IF(L68="","",IF(L68="Muy Baja",0.2,IF(L68="Baja",0.4,IF(L68="Media",0.6,IF(L68="Alta",0.8,IF(L68="Muy Alta",1,))))))</f>
        <v>0.8</v>
      </c>
      <c r="N68" s="311" t="s">
        <v>497</v>
      </c>
      <c r="O68" s="285" t="str">
        <f ca="1">IF(NOT(ISERROR(MATCH(N68,_xlfn.ANCHORARRAY(I92),0))),M94&amp;"Por favor no seleccionar los criterios de impacto",N68)</f>
        <v>El riesgo afecta la imagen de la entidad con algunos usuarios de relevancia frente al logro de los objetivos</v>
      </c>
      <c r="P68" s="225" t="str">
        <f ca="1">IF(OR(O68='[6]Tabla Impacto'!$C$4,'[6]Mapa final'!O64='[6]Tabla Impacto'!$D$4),"Leve",IF(OR(O68='[6]Tabla Impacto'!$C$5,'[6]Mapa final'!O64='[6]Tabla Impacto'!$D$5),"Menor",IF(OR(O68='[6]Tabla Impacto'!$C$6,'[6]Mapa final'!O64='[6]Tabla Impacto'!$D$6),"Moderado",IF(OR(O68='[6]Tabla Impacto'!$C$7,'[6]Mapa final'!O64='[6]Tabla Impacto'!$D$7),"Mayor",IF(OR(O68='[6]Tabla Impacto'!$C$8,'[6]Mapa final'!O64='[6]Tabla Impacto'!$D$8),"Catastrófico","")))))</f>
        <v>Moderado</v>
      </c>
      <c r="Q68" s="226">
        <f ca="1">IF(P68="","",IF(P68="Leve",0.2,IF(P68="Menor",0.4,IF(P68="Moderado",0.6,IF(P68="Mayor",0.8,IF(P68="Catastrófico",1,))))))</f>
        <v>0.6</v>
      </c>
      <c r="R68" s="227" t="str">
        <f ca="1">IF(OR(AND(L68="Muy Baja",P68="Leve"),AND(L68="Muy Baja",P68="Menor"),AND(L68="Baja",P68="Leve")),"Bajo",IF(OR(AND(L68="Muy baja",P68="Moderado"),AND(L68="Baja",P68="Menor"),AND(L68="Baja",P68="Moderado"),AND(L68="Media",P68="Leve"),AND(L68="Media",P68="Menor"),AND(L68="Media",P68="Moderado"),AND(L68="Alta",P68="Leve"),AND(L68="Alta",P68="Menor")),"Moderado",IF(OR(AND(L68="Muy Baja",P68="Mayor"),AND(L68="Baja",P68="Mayor"),AND(L68="Media",P68="Mayor"),AND(L68="Alta",P68="Moderado"),AND(L68="Alta",P68="Mayor"),AND(L68="Muy Alta",P68="Leve"),AND(L68="Muy Alta",P68="Menor"),AND(L68="Muy Alta",P68="Moderado"),AND(L68="Muy Alta",P68="Mayor")),"Alto",IF(OR(AND(L68="Muy Baja",P68="Catastrófico"),AND(L68="Baja",P68="Catastrófico"),AND(L68="Media",P68="Catastrófico"),AND(L68="Alta",P68="Catastrófico"),AND(L68="Muy Alta",P68="Catastrófico")),"Extremo",""))))</f>
        <v>Alto</v>
      </c>
      <c r="S68" s="312">
        <v>1</v>
      </c>
      <c r="T68" s="315" t="s">
        <v>548</v>
      </c>
      <c r="U68" s="230" t="s">
        <v>154</v>
      </c>
      <c r="V68" s="205" t="s">
        <v>155</v>
      </c>
      <c r="W68" s="231" t="s">
        <v>295</v>
      </c>
      <c r="X68" s="232" t="str">
        <f t="shared" ref="X68" si="120">IF(AND(V68="Preventivo",W68="Automático"),"50%",IF(AND(V68="Preventivo",W68="Manual"),"40%",IF(AND(V68="Detectivo",W68="Automático"),"40%",IF(AND(V68="Detectivo",W68="Manual"),"30%",IF(AND(V68="Correctivo",W68="Automático"),"35%",IF(AND(V68="Correctivo",W68="Manual"),"25%",""))))))</f>
        <v>50%</v>
      </c>
      <c r="Y68" s="231" t="s">
        <v>157</v>
      </c>
      <c r="Z68" s="231" t="s">
        <v>158</v>
      </c>
      <c r="AA68" s="231" t="s">
        <v>159</v>
      </c>
      <c r="AB68" s="233">
        <f>IFERROR(IF(U68="Probabilidad",(M68-(+M68*X68)),IF(U="Impacto",M68,"")),"")</f>
        <v>0.4</v>
      </c>
      <c r="AC68" s="234" t="str">
        <f>IFERROR(IF(AB68="","",IF(AB68&lt;=0.2,"Muy Baja",IF(AB68&lt;=0.4,"Baja",IF(AB68&lt;=0.6,"Media",IF(AB68&lt;=0.8,"Alta","Muy Alta"))))),"")</f>
        <v>Baja</v>
      </c>
      <c r="AD68" s="232">
        <f t="shared" si="114"/>
        <v>0.4</v>
      </c>
      <c r="AE68" s="234" t="str">
        <f t="shared" ca="1" si="115"/>
        <v>Moderado</v>
      </c>
      <c r="AF68" s="232">
        <f t="shared" ca="1" si="119"/>
        <v>0.6</v>
      </c>
      <c r="AG68" s="235" t="str">
        <f t="shared" ca="1" si="116"/>
        <v>Moderado</v>
      </c>
      <c r="AH68" s="236" t="s">
        <v>160</v>
      </c>
      <c r="AI68" s="237"/>
      <c r="AJ68" s="237" t="s">
        <v>353</v>
      </c>
      <c r="AK68" s="316" t="s">
        <v>235</v>
      </c>
      <c r="AL68" s="238" t="s">
        <v>220</v>
      </c>
      <c r="AM68" s="238" t="s">
        <v>220</v>
      </c>
      <c r="AN68" s="239" t="s">
        <v>165</v>
      </c>
      <c r="AO68" s="310"/>
      <c r="AP68" s="310"/>
      <c r="AQ68" s="310"/>
      <c r="AR68" s="310" t="s">
        <v>208</v>
      </c>
      <c r="AS68" s="310"/>
      <c r="AT68" s="310" t="s">
        <v>208</v>
      </c>
      <c r="AU68" s="310" t="s">
        <v>208</v>
      </c>
      <c r="AV68" s="310"/>
      <c r="AW68" s="164"/>
      <c r="AX68" s="164"/>
      <c r="AY68" s="164"/>
      <c r="AZ68" s="164"/>
      <c r="BA68" s="164"/>
      <c r="BB68" s="164"/>
      <c r="BC68" s="164"/>
      <c r="BD68" s="164"/>
      <c r="BE68" s="164"/>
      <c r="BF68" s="164"/>
      <c r="BG68" s="164"/>
      <c r="BH68" s="164"/>
      <c r="BI68" s="164"/>
      <c r="BJ68" s="164"/>
      <c r="BK68" s="164"/>
      <c r="BL68" s="164"/>
      <c r="BM68" s="164"/>
      <c r="BN68" s="164"/>
      <c r="BO68" s="164"/>
      <c r="BP68" s="164"/>
      <c r="BQ68" s="164"/>
      <c r="BR68" s="164"/>
      <c r="BS68" s="164"/>
      <c r="BT68" s="164"/>
    </row>
    <row r="69" spans="1:72" s="165" customFormat="1" ht="168" customHeight="1" x14ac:dyDescent="0.3">
      <c r="A69" s="614"/>
      <c r="B69" s="611"/>
      <c r="C69" s="617"/>
      <c r="D69" s="611"/>
      <c r="E69" s="220">
        <v>4</v>
      </c>
      <c r="F69" s="221" t="s">
        <v>172</v>
      </c>
      <c r="G69" s="221" t="s">
        <v>375</v>
      </c>
      <c r="H69" s="221" t="s">
        <v>376</v>
      </c>
      <c r="I69" s="222" t="s">
        <v>377</v>
      </c>
      <c r="J69" s="223" t="s">
        <v>568</v>
      </c>
      <c r="K69" s="224">
        <v>365</v>
      </c>
      <c r="L69" s="225" t="str">
        <f t="shared" si="117"/>
        <v>Media</v>
      </c>
      <c r="M69" s="226">
        <f>IF(L69="","",IF(L69="Muy Baja",0.2,IF(L69="Baja",0.4,IF(L69="Media",0.6,IF(L69="Alta",0.8,IF(L69="Muy Alta",1,))))))</f>
        <v>0.6</v>
      </c>
      <c r="N69" s="286" t="s">
        <v>152</v>
      </c>
      <c r="O69" s="285" t="str">
        <f ca="1">IF(NOT(ISERROR(MATCH(N69,_xlfn.ANCHORARRAY(I91),0))),M93&amp;"Por favor no seleccionar los criterios de impacto",N69)</f>
        <v xml:space="preserve">     El riesgo afecta la imagen de la entidad con algunos usuarios de relevancia frente al logro de los objetivos</v>
      </c>
      <c r="P69" s="225" t="str">
        <f ca="1">IF(OR(O69='[4]Tabla Impacto'!$C$11,O69='[4]Tabla Impacto'!$D$11),"Leve",IF(OR(O69='[4]Tabla Impacto'!$C$12,O69='[4]Tabla Impacto'!$D$12),"Menor",IF(OR(O69='[4]Tabla Impacto'!$C$13,O69='[4]Tabla Impacto'!$D$13),"Moderado",IF(OR(O69='[4]Tabla Impacto'!$C$14,O69='[4]Tabla Impacto'!$D$14),"Mayor",IF(OR(O69='[4]Tabla Impacto'!$C$15,O69='[4]Tabla Impacto'!$D$15),"Catastrófico","")))))</f>
        <v>Moderado</v>
      </c>
      <c r="Q69" s="226">
        <f ca="1">IF(P69="","",IF(P69="Leve",0.2,IF(P69="Menor",0.4,IF(P69="Moderado",0.6,IF(P69="Mayor",0.8,IF(P69="Catastrófico",1,))))))</f>
        <v>0.6</v>
      </c>
      <c r="R69" s="227" t="str">
        <f ca="1">IF(OR(AND(L69="Muy Baja",P69="Leve"),AND(L69="Muy Baja",P69="Menor"),AND(L69="Baja",P69="Leve")),"Bajo",IF(OR(AND(L69="Muy baja",P69="Moderado"),AND(L69="Baja",P69="Menor"),AND(L69="Baja",P69="Moderado"),AND(L69="Media",P69="Leve"),AND(L69="Media",P69="Menor"),AND(L69="Media",P69="Moderado"),AND(L69="Alta",P69="Leve"),AND(L69="Alta",P69="Menor")),"Moderado",IF(OR(AND(L69="Muy Baja",P69="Mayor"),AND(L69="Baja",P69="Mayor"),AND(L69="Media",P69="Mayor"),AND(L69="Alta",P69="Moderado"),AND(L69="Alta",P69="Mayor"),AND(L69="Muy Alta",P69="Leve"),AND(L69="Muy Alta",P69="Menor"),AND(L69="Muy Alta",P69="Moderado"),AND(L69="Muy Alta",P69="Mayor")),"Alto",IF(OR(AND(L69="Muy Baja",P69="Catastrófico"),AND(L69="Baja",P69="Catastrófico"),AND(L69="Media",P69="Catastrófico"),AND(L69="Alta",P69="Catastrófico"),AND(L69="Muy Alta",P69="Catastrófico")),"Extremo",""))))</f>
        <v>Moderado</v>
      </c>
      <c r="S69" s="228">
        <v>1</v>
      </c>
      <c r="T69" s="229" t="s">
        <v>378</v>
      </c>
      <c r="U69" s="230" t="s">
        <v>154</v>
      </c>
      <c r="V69" s="231" t="s">
        <v>169</v>
      </c>
      <c r="W69" s="231" t="s">
        <v>156</v>
      </c>
      <c r="X69" s="232" t="str">
        <f t="shared" si="109"/>
        <v>30%</v>
      </c>
      <c r="Y69" s="231" t="s">
        <v>157</v>
      </c>
      <c r="Z69" s="231" t="s">
        <v>158</v>
      </c>
      <c r="AA69" s="231" t="s">
        <v>159</v>
      </c>
      <c r="AB69" s="233">
        <f>IFERROR(IF(U55="Probabilidad",(M69-(+M69*X55)),IF(U="Impacto",M69,"")),"")</f>
        <v>0.36</v>
      </c>
      <c r="AC69" s="234" t="str">
        <f t="shared" si="113"/>
        <v>Baja</v>
      </c>
      <c r="AD69" s="232">
        <f t="shared" si="114"/>
        <v>0.36</v>
      </c>
      <c r="AE69" s="234" t="str">
        <f t="shared" ca="1" si="115"/>
        <v>Moderado</v>
      </c>
      <c r="AF69" s="232">
        <f ca="1">IFERROR(IF(U69="Impacto",(Q69-(+Q69*X69)),IF(U69="Probabilidad",Q69,"")),"")</f>
        <v>0.6</v>
      </c>
      <c r="AG69" s="235" t="str">
        <f t="shared" ca="1" si="116"/>
        <v>Moderado</v>
      </c>
      <c r="AH69" s="236" t="s">
        <v>160</v>
      </c>
      <c r="AI69" s="237"/>
      <c r="AJ69" s="237" t="s">
        <v>353</v>
      </c>
      <c r="AK69" s="238" t="s">
        <v>379</v>
      </c>
      <c r="AL69" s="238" t="s">
        <v>220</v>
      </c>
      <c r="AM69" s="238" t="s">
        <v>220</v>
      </c>
      <c r="AN69" s="239" t="s">
        <v>165</v>
      </c>
      <c r="AO69" s="239"/>
      <c r="AP69" s="239"/>
      <c r="AQ69" s="239"/>
      <c r="AR69" s="239" t="s">
        <v>166</v>
      </c>
      <c r="AS69" s="239" t="s">
        <v>166</v>
      </c>
      <c r="AT69" s="239" t="s">
        <v>166</v>
      </c>
      <c r="AU69" s="239" t="s">
        <v>166</v>
      </c>
      <c r="AV69" s="239" t="s">
        <v>166</v>
      </c>
      <c r="AW69" s="164"/>
      <c r="AX69" s="164"/>
      <c r="AY69" s="164"/>
      <c r="AZ69" s="164"/>
      <c r="BA69" s="164"/>
      <c r="BB69" s="164"/>
      <c r="BC69" s="164"/>
      <c r="BD69" s="164"/>
      <c r="BE69" s="164"/>
      <c r="BF69" s="164"/>
      <c r="BG69" s="164"/>
      <c r="BH69" s="164"/>
      <c r="BI69" s="164"/>
      <c r="BJ69" s="164"/>
      <c r="BK69" s="164"/>
      <c r="BL69" s="164"/>
      <c r="BM69" s="164"/>
      <c r="BN69" s="164"/>
      <c r="BO69" s="164"/>
      <c r="BP69" s="164"/>
      <c r="BQ69" s="164" t="s">
        <v>380</v>
      </c>
      <c r="BR69" s="164"/>
      <c r="BS69" s="164"/>
      <c r="BT69" s="164"/>
    </row>
    <row r="70" spans="1:72" ht="151.5" customHeight="1" x14ac:dyDescent="0.3">
      <c r="A70" s="492" t="s">
        <v>575</v>
      </c>
      <c r="B70" s="495" t="s">
        <v>576</v>
      </c>
      <c r="C70" s="495" t="s">
        <v>577</v>
      </c>
      <c r="D70" s="492" t="s">
        <v>238</v>
      </c>
      <c r="E70" s="626">
        <v>1</v>
      </c>
      <c r="F70" s="476" t="s">
        <v>199</v>
      </c>
      <c r="G70" s="476" t="s">
        <v>381</v>
      </c>
      <c r="H70" s="476" t="s">
        <v>578</v>
      </c>
      <c r="I70" s="476" t="s">
        <v>579</v>
      </c>
      <c r="J70" s="476" t="s">
        <v>188</v>
      </c>
      <c r="K70" s="477">
        <v>529</v>
      </c>
      <c r="L70" s="475" t="str">
        <f>IF(K70&lt;=0,"",IF(K70&lt;=2,"Muy Baja",IF(K70&lt;=24,"Baja",IF(K70&lt;=500,"Media",IF(K70&lt;=5000,"Alta","Muy Alta")))))</f>
        <v>Alta</v>
      </c>
      <c r="M70" s="478">
        <f>IF(L70="","",IF(L70="Muy Baja",0.2,IF(L70="Baja",0.4,IF(L70="Media",0.6,IF(L70="Alta",0.8,IF(L70="Muy Alta",1,))))))</f>
        <v>0.8</v>
      </c>
      <c r="N70" s="479" t="str">
        <f>'Tabla Impacto'!D7</f>
        <v>El riesgo afecta la imagen de de la entidad con efecto publicitario sostenido a nivel de sector administrativo, nivel departamental o municipal</v>
      </c>
      <c r="O70" s="478" t="str">
        <f ca="1">IF(NOT(ISERROR(MATCH(N70,_xlfn.ANCHORARRAY(I81),0))),#REF!&amp;"Por favor no seleccionar los criterios de impacto",N70)</f>
        <v>El riesgo afecta la imagen de de la entidad con efecto publicitario sostenido a nivel de sector administrativo, nivel departamental o municipal</v>
      </c>
      <c r="P70" s="475" t="str">
        <f ca="1">IF(OR(O70='Tabla Impacto'!$C$4,O70='Tabla Impacto'!$D$4),"Leve",IF(OR(O70='Tabla Impacto'!$C$5,O70='Tabla Impacto'!$D$5),"Menor",IF(OR(O70='Tabla Impacto'!$C$6,O70='Tabla Impacto'!$D$6),"Moderado",IF(OR(O70='Tabla Impacto'!$C$7,O70='Tabla Impacto'!$D$7),"Mayor",IF(OR(O70='Tabla Impacto'!$C$8,O70='Tabla Impacto'!$D$8),"Catastrófico","")))))</f>
        <v>Mayor</v>
      </c>
      <c r="Q70" s="478">
        <f ca="1">IF(P70="","",IF(P70="Leve",0.2,IF(P70="Menor",0.4,IF(P70="Moderado",0.6,IF(P70="Mayor",0.8,IF(P70="Catastrófico",1,))))))</f>
        <v>0.8</v>
      </c>
      <c r="R70" s="487" t="str">
        <f ca="1">IF(OR(AND(L70="Muy Baja",P70="Leve"),AND(L70="Muy Baja",P70="Menor"),AND(L70="Baja",P70="Leve")),"Bajo",IF(OR(AND(L70="Muy baja",P70="Moderado"),AND(L70="Baja",P70="Menor"),AND(L70="Baja",P70="Moderado"),AND(L70="Media",P70="Leve"),AND(L70="Media",P70="Menor"),AND(L70="Media",P70="Moderado"),AND(L70="Alta",P70="Leve"),AND(L70="Alta",P70="Menor")),"Moderado",IF(OR(AND(L70="Muy Baja",P70="Mayor"),AND(L70="Baja",P70="Mayor"),AND(L70="Media",P70="Mayor"),AND(L70="Alta",P70="Moderado"),AND(L70="Alta",P70="Mayor"),AND(L70="Muy Alta",P70="Leve"),AND(L70="Muy Alta",P70="Menor"),AND(L70="Muy Alta",P70="Moderado"),AND(L70="Muy Alta",P70="Mayor")),"Alto",IF(OR(AND(L70="Muy Baja",P70="Catastrófico"),AND(L70="Baja",P70="Catastrófico"),AND(L70="Media",P70="Catastrófico"),AND(L70="Alta",P70="Catastrófico"),AND(L70="Muy Alta",P70="Catastrófico")),"Extremo",""))))</f>
        <v>Alto</v>
      </c>
      <c r="S70" s="244">
        <v>1</v>
      </c>
      <c r="T70" s="245" t="s">
        <v>580</v>
      </c>
      <c r="U70" s="209" t="s">
        <v>154</v>
      </c>
      <c r="V70" s="210" t="s">
        <v>155</v>
      </c>
      <c r="W70" s="210" t="s">
        <v>156</v>
      </c>
      <c r="X70" s="211" t="str">
        <f t="shared" ref="X70:X88" si="121">IF(AND(V70="Preventivo",W70="Automático"),"50%",IF(AND(V70="Preventivo",W70="Manual"),"40%",IF(AND(V70="Detectivo",W70="Automático"),"40%",IF(AND(V70="Detectivo",W70="Manual"),"30%",IF(AND(V70="Correctivo",W70="Automático"),"35%",IF(AND(V70="Correctivo",W70="Manual"),"25%",""))))))</f>
        <v>40%</v>
      </c>
      <c r="Y70" s="210" t="s">
        <v>157</v>
      </c>
      <c r="Z70" s="210" t="s">
        <v>158</v>
      </c>
      <c r="AA70" s="210" t="s">
        <v>159</v>
      </c>
      <c r="AB70" s="212">
        <f>IFERROR(IF(U70="Probabilidad",(M70-(+M70*X70)),IF(U70="Impacto",M70,"")),"")</f>
        <v>0.48</v>
      </c>
      <c r="AC70" s="213" t="str">
        <f t="shared" si="98"/>
        <v>Media</v>
      </c>
      <c r="AD70" s="214">
        <f t="shared" ref="AD70:AD89" si="122">+AB70</f>
        <v>0.48</v>
      </c>
      <c r="AE70" s="213" t="str">
        <f t="shared" ref="AE70:AE89" ca="1" si="123">IFERROR(IF(AF70="","",IF(AF70&lt;=0.2,"Leve",IF(AF70&lt;=0.4,"Menor",IF(AF70&lt;=0.6,"Moderado",IF(AF70&lt;=0.8,"Mayor","Catastrófico"))))),"")</f>
        <v>Mayor</v>
      </c>
      <c r="AF70" s="214">
        <f ca="1">IFERROR(IF(U70="Impacto",(Q70-(+Q70*X70)),IF(U70="Probabilidad",Q70,"")),"")</f>
        <v>0.8</v>
      </c>
      <c r="AG70" s="215" t="str">
        <f t="shared" ref="AG70:AG89" ca="1" si="124">IFERROR(IF(OR(AND(AC70="Muy Baja",AE70="Leve"),AND(AC70="Muy Baja",AE70="Menor"),AND(AC70="Baja",AE70="Leve")),"Bajo",IF(OR(AND(AC70="Muy baja",AE70="Moderado"),AND(AC70="Baja",AE70="Menor"),AND(AC70="Baja",AE70="Moderado"),AND(AC70="Media",AE70="Leve"),AND(AC70="Media",AE70="Menor"),AND(AC70="Media",AE70="Moderado"),AND(AC70="Alta",AE70="Leve"),AND(AC70="Alta",AE70="Menor")),"Moderado",IF(OR(AND(AC70="Muy Baja",AE70="Mayor"),AND(AC70="Baja",AE70="Mayor"),AND(AC70="Media",AE70="Mayor"),AND(AC70="Alta",AE70="Moderado"),AND(AC70="Alta",AE70="Mayor"),AND(AC70="Muy Alta",AE70="Leve"),AND(AC70="Muy Alta",AE70="Menor"),AND(AC70="Muy Alta",AE70="Moderado"),AND(AC70="Muy Alta",AE70="Mayor")),"Alto",IF(OR(AND(AC70="Muy Baja",AE70="Catastrófico"),AND(AC70="Baja",AE70="Catastrófico"),AND(AC70="Media",AE70="Catastrófico"),AND(AC70="Alta",AE70="Catastrófico"),AND(AC70="Muy Alta",AE70="Catastrófico")),"Extremo","")))),"")</f>
        <v>Alto</v>
      </c>
      <c r="AH70" s="246" t="s">
        <v>160</v>
      </c>
      <c r="AI70" s="476" t="s">
        <v>581</v>
      </c>
      <c r="AJ70" s="271" t="s">
        <v>243</v>
      </c>
      <c r="AK70" s="272" t="s">
        <v>244</v>
      </c>
      <c r="AL70" s="272" t="s">
        <v>207</v>
      </c>
      <c r="AM70" s="271"/>
      <c r="AN70" s="279" t="s">
        <v>165</v>
      </c>
      <c r="AO70" s="488"/>
      <c r="AP70" s="477"/>
      <c r="AQ70" s="477"/>
      <c r="AR70" s="279"/>
      <c r="AS70" s="279"/>
      <c r="AT70" s="279" t="s">
        <v>166</v>
      </c>
      <c r="AU70" s="279" t="s">
        <v>166</v>
      </c>
      <c r="AV70" s="279" t="s">
        <v>166</v>
      </c>
      <c r="AW70" s="7"/>
      <c r="AX70" s="7"/>
      <c r="AY70" s="7"/>
      <c r="AZ70" s="7"/>
      <c r="BA70" s="7"/>
      <c r="BB70" s="7"/>
      <c r="BC70" s="7"/>
      <c r="BD70" s="7"/>
      <c r="BE70" s="7"/>
      <c r="BF70" s="7"/>
      <c r="BG70" s="7"/>
      <c r="BH70" s="7"/>
      <c r="BI70" s="7"/>
      <c r="BJ70" s="7"/>
      <c r="BK70" s="7"/>
      <c r="BL70" s="7"/>
      <c r="BM70" s="7"/>
      <c r="BN70" s="7"/>
      <c r="BO70" s="7"/>
      <c r="BP70" s="7"/>
      <c r="BQ70" s="7" t="s">
        <v>18</v>
      </c>
      <c r="BR70" s="7"/>
      <c r="BS70" s="7"/>
      <c r="BT70" s="7"/>
    </row>
    <row r="71" spans="1:72" ht="151.5" customHeight="1" x14ac:dyDescent="0.3">
      <c r="A71" s="493"/>
      <c r="B71" s="496"/>
      <c r="C71" s="496"/>
      <c r="D71" s="493"/>
      <c r="E71" s="522"/>
      <c r="F71" s="427"/>
      <c r="G71" s="427"/>
      <c r="H71" s="427"/>
      <c r="I71" s="427"/>
      <c r="J71" s="427"/>
      <c r="K71" s="425"/>
      <c r="L71" s="429"/>
      <c r="M71" s="431"/>
      <c r="N71" s="473"/>
      <c r="O71" s="481"/>
      <c r="P71" s="429"/>
      <c r="Q71" s="431"/>
      <c r="R71" s="486"/>
      <c r="S71" s="125">
        <v>2</v>
      </c>
      <c r="T71" s="259" t="s">
        <v>582</v>
      </c>
      <c r="U71" s="260" t="s">
        <v>49</v>
      </c>
      <c r="V71" s="261" t="s">
        <v>211</v>
      </c>
      <c r="W71" s="261" t="s">
        <v>156</v>
      </c>
      <c r="X71" s="262" t="str">
        <f t="shared" si="121"/>
        <v>25%</v>
      </c>
      <c r="Y71" s="261" t="s">
        <v>178</v>
      </c>
      <c r="Z71" s="261" t="s">
        <v>204</v>
      </c>
      <c r="AA71" s="261" t="s">
        <v>159</v>
      </c>
      <c r="AB71" s="263">
        <f>IFERROR(IF(U71="Probabilidad",(AB70-(+AB70*X71)),IF(U71="Impacto",AB70,"")),"")</f>
        <v>0.48</v>
      </c>
      <c r="AC71" s="269" t="str">
        <f t="shared" si="98"/>
        <v>Media</v>
      </c>
      <c r="AD71" s="264">
        <f t="shared" si="122"/>
        <v>0.48</v>
      </c>
      <c r="AE71" s="269" t="str">
        <f t="shared" ca="1" si="123"/>
        <v>Moderado</v>
      </c>
      <c r="AF71" s="264">
        <f ca="1">IFERROR(IF(U71="Impacto",(Q70-(+Q70*X71)),IF(U71="Probabilidad",Q70,"")),"")</f>
        <v>0.60000000000000009</v>
      </c>
      <c r="AG71" s="265" t="str">
        <f t="shared" ca="1" si="124"/>
        <v>Moderado</v>
      </c>
      <c r="AH71" s="266" t="s">
        <v>160</v>
      </c>
      <c r="AI71" s="427"/>
      <c r="AJ71" s="270" t="s">
        <v>243</v>
      </c>
      <c r="AK71" s="268" t="s">
        <v>244</v>
      </c>
      <c r="AL71" s="268" t="s">
        <v>207</v>
      </c>
      <c r="AM71" s="268"/>
      <c r="AN71" s="277" t="s">
        <v>165</v>
      </c>
      <c r="AO71" s="489"/>
      <c r="AP71" s="425"/>
      <c r="AQ71" s="425"/>
      <c r="AR71" s="277"/>
      <c r="AS71" s="277" t="s">
        <v>166</v>
      </c>
      <c r="AT71" s="277" t="s">
        <v>166</v>
      </c>
      <c r="AU71" s="277" t="s">
        <v>166</v>
      </c>
      <c r="AV71" s="277"/>
      <c r="AW71" s="7"/>
      <c r="AX71" s="7"/>
      <c r="AY71" s="7"/>
      <c r="AZ71" s="7"/>
      <c r="BA71" s="7"/>
      <c r="BB71" s="7"/>
      <c r="BC71" s="7"/>
      <c r="BD71" s="7"/>
      <c r="BE71" s="7"/>
      <c r="BF71" s="7"/>
      <c r="BG71" s="7"/>
      <c r="BH71" s="7"/>
      <c r="BI71" s="7"/>
      <c r="BJ71" s="7"/>
      <c r="BK71" s="7"/>
      <c r="BL71" s="7"/>
      <c r="BM71" s="7"/>
      <c r="BN71" s="7"/>
      <c r="BO71" s="7"/>
      <c r="BP71" s="7"/>
      <c r="BQ71" s="7" t="s">
        <v>382</v>
      </c>
      <c r="BR71" s="7"/>
      <c r="BS71" s="7"/>
      <c r="BT71" s="7"/>
    </row>
    <row r="72" spans="1:72" ht="151.5" customHeight="1" x14ac:dyDescent="0.3">
      <c r="A72" s="493"/>
      <c r="B72" s="496"/>
      <c r="C72" s="496"/>
      <c r="D72" s="493" t="s">
        <v>4</v>
      </c>
      <c r="E72" s="515">
        <v>1</v>
      </c>
      <c r="F72" s="466" t="s">
        <v>383</v>
      </c>
      <c r="G72" s="466" t="s">
        <v>384</v>
      </c>
      <c r="H72" s="466" t="s">
        <v>385</v>
      </c>
      <c r="I72" s="466" t="s">
        <v>583</v>
      </c>
      <c r="J72" s="426" t="s">
        <v>188</v>
      </c>
      <c r="K72" s="468">
        <v>69</v>
      </c>
      <c r="L72" s="428" t="str">
        <f>IF(K72&lt;=0,"",IF(K72&lt;=2,"Muy Baja",IF(K72&lt;=24,"Baja",IF(K72&lt;=500,"Media",IF(K72&lt;=5000,"Alta","Muy Alta")))))</f>
        <v>Media</v>
      </c>
      <c r="M72" s="430">
        <f>IF(L72="","",IF(L72="Muy Baja",0.2,IF(L72="Baja",0.4,IF(L72="Media",0.6,IF(L72="Alta",0.8,IF(L72="Muy Alta",1,))))))</f>
        <v>0.6</v>
      </c>
      <c r="N72" s="473" t="str">
        <f>'Tabla Impacto'!D7</f>
        <v>El riesgo afecta la imagen de de la entidad con efecto publicitario sostenido a nivel de sector administrativo, nivel departamental o municipal</v>
      </c>
      <c r="O72" s="481" t="str">
        <f ca="1">IF(NOT(ISERROR(MATCH(N72,_xlfn.ANCHORARRAY(#REF!),0))),M88&amp;"Por favor no seleccionar los criterios de impacto",N72)</f>
        <v>El riesgo afecta la imagen de de la entidad con efecto publicitario sostenido a nivel de sector administrativo, nivel departamental o municipal</v>
      </c>
      <c r="P72" s="475" t="str">
        <f ca="1">IF(OR(O72='Tabla Impacto'!$C$4,O72='Tabla Impacto'!$D$4),"Leve",IF(OR(O72='Tabla Impacto'!$C$5,O72='Tabla Impacto'!$D$5),"Menor",IF(OR(O72='Tabla Impacto'!$C$6,O72='Tabla Impacto'!$D$6),"Moderado",IF(OR(O72='Tabla Impacto'!$C$7,O72='Tabla Impacto'!$D$7),"Mayor",IF(OR(O72='Tabla Impacto'!$C$8,O72='Tabla Impacto'!$D$8),"Catastrófico","")))))</f>
        <v>Mayor</v>
      </c>
      <c r="Q72" s="430">
        <f ca="1">IF(P72="","",IF(P72="Leve",0.2,IF(P72="Menor",0.4,IF(P72="Moderado",0.6,IF(P72="Mayor",0.8,IF(P72="Catastrófico",1,))))))</f>
        <v>0.8</v>
      </c>
      <c r="R72" s="484" t="str">
        <f ca="1">IF(OR(AND(L72="Muy Baja",P72="Leve"),AND(L72="Muy Baja",P72="Menor"),AND(L72="Baja",P72="Leve")),"Bajo",IF(OR(AND(L72="Muy baja",P72="Moderado"),AND(L72="Baja",P72="Menor"),AND(L72="Baja",P72="Moderado"),AND(L72="Media",P72="Leve"),AND(L72="Media",P72="Menor"),AND(L72="Media",P72="Moderado"),AND(L72="Alta",P72="Leve"),AND(L72="Alta",P72="Menor")),"Moderado",IF(OR(AND(L72="Muy Baja",P72="Mayor"),AND(L72="Baja",P72="Mayor"),AND(L72="Media",P72="Mayor"),AND(L72="Alta",P72="Moderado"),AND(L72="Alta",P72="Mayor"),AND(L72="Muy Alta",P72="Leve"),AND(L72="Muy Alta",P72="Menor"),AND(L72="Muy Alta",P72="Moderado"),AND(L72="Muy Alta",P72="Mayor")),"Alto",IF(OR(AND(L72="Muy Baja",P72="Catastrófico"),AND(L72="Baja",P72="Catastrófico"),AND(L72="Media",P72="Catastrófico"),AND(L72="Alta",P72="Catastrófico"),AND(L72="Muy Alta",P72="Catastrófico")),"Extremo",""))))</f>
        <v>Alto</v>
      </c>
      <c r="S72" s="125">
        <v>1</v>
      </c>
      <c r="T72" s="259" t="s">
        <v>386</v>
      </c>
      <c r="U72" s="260" t="s">
        <v>154</v>
      </c>
      <c r="V72" s="261" t="s">
        <v>169</v>
      </c>
      <c r="W72" s="261" t="s">
        <v>156</v>
      </c>
      <c r="X72" s="262" t="s">
        <v>387</v>
      </c>
      <c r="Y72" s="261" t="s">
        <v>157</v>
      </c>
      <c r="Z72" s="261" t="s">
        <v>158</v>
      </c>
      <c r="AA72" s="261" t="s">
        <v>159</v>
      </c>
      <c r="AB72" s="263">
        <v>0.42</v>
      </c>
      <c r="AC72" s="269" t="s">
        <v>388</v>
      </c>
      <c r="AD72" s="264">
        <v>0.42</v>
      </c>
      <c r="AE72" s="269" t="s">
        <v>389</v>
      </c>
      <c r="AF72" s="264">
        <v>0.8</v>
      </c>
      <c r="AG72" s="265" t="s">
        <v>390</v>
      </c>
      <c r="AH72" s="266" t="s">
        <v>160</v>
      </c>
      <c r="AI72" s="466"/>
      <c r="AJ72" s="270" t="s">
        <v>4</v>
      </c>
      <c r="AK72" s="268" t="s">
        <v>391</v>
      </c>
      <c r="AL72" s="268" t="s">
        <v>392</v>
      </c>
      <c r="AM72" s="270"/>
      <c r="AN72" s="277" t="s">
        <v>165</v>
      </c>
      <c r="AO72" s="470"/>
      <c r="AP72" s="468"/>
      <c r="AQ72" s="468"/>
      <c r="AR72" s="277" t="s">
        <v>208</v>
      </c>
      <c r="AS72" s="277"/>
      <c r="AT72" s="277" t="s">
        <v>208</v>
      </c>
      <c r="AU72" s="277" t="s">
        <v>208</v>
      </c>
      <c r="AV72" s="277"/>
      <c r="AW72" s="7"/>
      <c r="AX72" s="7"/>
      <c r="AY72" s="7"/>
      <c r="AZ72" s="7"/>
      <c r="BA72" s="7"/>
      <c r="BB72" s="7"/>
      <c r="BC72" s="7"/>
      <c r="BD72" s="7"/>
      <c r="BE72" s="7"/>
      <c r="BF72" s="7"/>
      <c r="BG72" s="7"/>
      <c r="BH72" s="7"/>
      <c r="BI72" s="7"/>
      <c r="BJ72" s="7"/>
      <c r="BK72" s="7"/>
      <c r="BL72" s="7"/>
      <c r="BM72" s="7"/>
      <c r="BN72" s="7"/>
      <c r="BO72" s="7"/>
      <c r="BP72" s="7"/>
      <c r="BQ72" s="7"/>
      <c r="BR72" s="7"/>
      <c r="BS72" s="7"/>
      <c r="BT72" s="7"/>
    </row>
    <row r="73" spans="1:72" ht="151.5" customHeight="1" x14ac:dyDescent="0.3">
      <c r="A73" s="494"/>
      <c r="B73" s="497"/>
      <c r="C73" s="497"/>
      <c r="D73" s="494"/>
      <c r="E73" s="516"/>
      <c r="F73" s="467"/>
      <c r="G73" s="467"/>
      <c r="H73" s="467"/>
      <c r="I73" s="467"/>
      <c r="J73" s="467"/>
      <c r="K73" s="469"/>
      <c r="L73" s="517"/>
      <c r="M73" s="472"/>
      <c r="N73" s="474"/>
      <c r="O73" s="472"/>
      <c r="P73" s="429"/>
      <c r="Q73" s="472"/>
      <c r="R73" s="485"/>
      <c r="S73" s="240">
        <v>2</v>
      </c>
      <c r="T73" s="241" t="s">
        <v>584</v>
      </c>
      <c r="U73" s="230" t="s">
        <v>154</v>
      </c>
      <c r="V73" s="231" t="s">
        <v>155</v>
      </c>
      <c r="W73" s="231" t="s">
        <v>156</v>
      </c>
      <c r="X73" s="232" t="s">
        <v>393</v>
      </c>
      <c r="Y73" s="231" t="s">
        <v>157</v>
      </c>
      <c r="Z73" s="231" t="s">
        <v>158</v>
      </c>
      <c r="AA73" s="231" t="s">
        <v>159</v>
      </c>
      <c r="AB73" s="233">
        <v>0.252</v>
      </c>
      <c r="AC73" s="234" t="s">
        <v>394</v>
      </c>
      <c r="AD73" s="232">
        <v>0.252</v>
      </c>
      <c r="AE73" s="234" t="s">
        <v>389</v>
      </c>
      <c r="AF73" s="232">
        <v>0.8</v>
      </c>
      <c r="AG73" s="235" t="s">
        <v>390</v>
      </c>
      <c r="AH73" s="231" t="s">
        <v>160</v>
      </c>
      <c r="AI73" s="467"/>
      <c r="AJ73" s="273" t="s">
        <v>4</v>
      </c>
      <c r="AK73" s="243" t="s">
        <v>395</v>
      </c>
      <c r="AL73" s="243" t="s">
        <v>396</v>
      </c>
      <c r="AM73" s="273"/>
      <c r="AN73" s="274" t="s">
        <v>165</v>
      </c>
      <c r="AO73" s="471"/>
      <c r="AP73" s="469"/>
      <c r="AQ73" s="469"/>
      <c r="AR73" s="274" t="s">
        <v>208</v>
      </c>
      <c r="AS73" s="274"/>
      <c r="AT73" s="274" t="s">
        <v>208</v>
      </c>
      <c r="AU73" s="274" t="s">
        <v>208</v>
      </c>
      <c r="AV73" s="274"/>
      <c r="AW73" s="7"/>
      <c r="AX73" s="7"/>
      <c r="AY73" s="7"/>
      <c r="AZ73" s="7"/>
      <c r="BA73" s="7"/>
      <c r="BB73" s="7"/>
      <c r="BC73" s="7"/>
      <c r="BD73" s="7"/>
      <c r="BE73" s="7"/>
      <c r="BF73" s="7"/>
      <c r="BG73" s="7"/>
      <c r="BH73" s="7"/>
      <c r="BI73" s="7"/>
      <c r="BJ73" s="7"/>
      <c r="BK73" s="7"/>
      <c r="BL73" s="7"/>
      <c r="BM73" s="7"/>
      <c r="BN73" s="7"/>
      <c r="BO73" s="7"/>
      <c r="BP73" s="7"/>
      <c r="BQ73" s="7"/>
      <c r="BR73" s="7"/>
      <c r="BS73" s="7"/>
      <c r="BT73" s="7"/>
    </row>
    <row r="74" spans="1:72" ht="151.5" customHeight="1" x14ac:dyDescent="0.3">
      <c r="A74" s="493" t="s">
        <v>25</v>
      </c>
      <c r="B74" s="496" t="s">
        <v>397</v>
      </c>
      <c r="C74" s="496" t="s">
        <v>398</v>
      </c>
      <c r="D74" s="493" t="s">
        <v>10</v>
      </c>
      <c r="E74" s="491">
        <v>1</v>
      </c>
      <c r="F74" s="426" t="s">
        <v>399</v>
      </c>
      <c r="G74" s="426" t="s">
        <v>400</v>
      </c>
      <c r="H74" s="426" t="s">
        <v>401</v>
      </c>
      <c r="I74" s="426" t="s">
        <v>402</v>
      </c>
      <c r="J74" s="426" t="s">
        <v>151</v>
      </c>
      <c r="K74" s="424">
        <v>90</v>
      </c>
      <c r="L74" s="483" t="str">
        <f>IF(K74&lt;=0,"",IF(K74&lt;=2,"Muy Baja",IF(K74&lt;=24,"Baja",IF(K74&lt;=500,"Media",IF(K74&lt;=5000,"Alta","Muy Alta")))))</f>
        <v>Media</v>
      </c>
      <c r="M74" s="481">
        <f>IF(L74="","",IF(L74="Muy Baja",0.2,IF(L74="Baja",0.4,IF(L74="Media",0.6,IF(L74="Alta",0.8,IF(L74="Muy Alta",1,))))))</f>
        <v>0.6</v>
      </c>
      <c r="N74" s="473" t="s">
        <v>346</v>
      </c>
      <c r="O74" s="481" t="str">
        <f ca="1">IF(NOT(ISERROR(MATCH(N74,_xlfn.ANCHORARRAY(I74),0))),M74&amp;"Por favor no seleccionar los criterios de impacto",N74)</f>
        <v xml:space="preserve">     Entre 100 y 500 SMLMV </v>
      </c>
      <c r="P74" s="483" t="str">
        <f ca="1">IF(OR(O74='[1]Tabla Impacto'!$C$11,O74='[1]Tabla Impacto'!$D$11),"Leve",IF(OR(O74='[1]Tabla Impacto'!$C$12,O74='[1]Tabla Impacto'!$D$12),"Menor",IF(OR(O74='[1]Tabla Impacto'!$C$13,O74='[1]Tabla Impacto'!$D$13),"Moderado",IF(OR(O74='[1]Tabla Impacto'!$C$14,O74='[1]Tabla Impacto'!$D$14),"Mayor",IF(OR(O74='[1]Tabla Impacto'!$C$15,O74='[1]Tabla Impacto'!$D$15),"Catastrófico","")))))</f>
        <v>Mayor</v>
      </c>
      <c r="Q74" s="481">
        <f ca="1">IF(P74="","",IF(P74="Leve",0.2,IF(P74="Menor",0.4,IF(P74="Moderado",0.6,IF(P74="Mayor",0.8,IF(P74="Catastrófico",1,))))))</f>
        <v>0.8</v>
      </c>
      <c r="R74" s="498" t="str">
        <f ca="1">IF(OR(AND(L74="Muy Baja",P74="Leve"),AND(L74="Muy Baja",P74="Menor"),AND(L74="Baja",P74="Leve")),"Bajo",IF(OR(AND(L74="Muy baja",P74="Moderado"),AND(L74="Baja",P74="Menor"),AND(L74="Baja",P74="Moderado"),AND(L74="Media",P74="Leve"),AND(L74="Media",P74="Menor"),AND(L74="Media",P74="Moderado"),AND(L74="Alta",P74="Leve"),AND(L74="Alta",P74="Menor")),"Moderado",IF(OR(AND(L74="Muy Baja",P74="Mayor"),AND(L74="Baja",P74="Mayor"),AND(L74="Media",P74="Mayor"),AND(L74="Alta",P74="Moderado"),AND(L74="Alta",P74="Mayor"),AND(L74="Muy Alta",P74="Leve"),AND(L74="Muy Alta",P74="Menor"),AND(L74="Muy Alta",P74="Moderado"),AND(L74="Muy Alta",P74="Mayor")),"Alto",IF(OR(AND(L74="Muy Baja",P74="Catastrófico"),AND(L74="Baja",P74="Catastrófico"),AND(L74="Media",P74="Catastrófico"),AND(L74="Alta",P74="Catastrófico"),AND(L74="Muy Alta",P74="Catastrófico")),"Extremo",""))))</f>
        <v>Alto</v>
      </c>
      <c r="S74" s="196">
        <v>1</v>
      </c>
      <c r="T74" s="197" t="s">
        <v>403</v>
      </c>
      <c r="U74" s="198" t="s">
        <v>154</v>
      </c>
      <c r="V74" s="199" t="s">
        <v>155</v>
      </c>
      <c r="W74" s="199" t="s">
        <v>156</v>
      </c>
      <c r="X74" s="200" t="str">
        <f t="shared" si="121"/>
        <v>40%</v>
      </c>
      <c r="Y74" s="199" t="s">
        <v>157</v>
      </c>
      <c r="Z74" s="199" t="s">
        <v>158</v>
      </c>
      <c r="AA74" s="199" t="s">
        <v>159</v>
      </c>
      <c r="AB74" s="201">
        <f>IFERROR(IF(U74="Probabilidad",(M74-(+M74*X74)),IF(U74="Impacto",M74,"")),"")</f>
        <v>0.36</v>
      </c>
      <c r="AC74" s="202" t="str">
        <f t="shared" si="98"/>
        <v>Baja</v>
      </c>
      <c r="AD74" s="203">
        <f t="shared" si="122"/>
        <v>0.36</v>
      </c>
      <c r="AE74" s="202" t="str">
        <f t="shared" ca="1" si="123"/>
        <v>Mayor</v>
      </c>
      <c r="AF74" s="203">
        <f ca="1">IFERROR(IF(U74="Impacto",(Q74-(+Q74*X74)),IF(U74="Probabilidad",Q74,"")),"")</f>
        <v>0.8</v>
      </c>
      <c r="AG74" s="204" t="str">
        <f t="shared" ca="1" si="124"/>
        <v>Alto</v>
      </c>
      <c r="AH74" s="205" t="s">
        <v>160</v>
      </c>
      <c r="AI74" s="426"/>
      <c r="AJ74" s="152" t="s">
        <v>10</v>
      </c>
      <c r="AK74" s="257" t="s">
        <v>314</v>
      </c>
      <c r="AL74" s="258"/>
      <c r="AM74" s="256"/>
      <c r="AN74" s="292" t="s">
        <v>165</v>
      </c>
      <c r="AO74" s="424"/>
      <c r="AP74" s="424"/>
      <c r="AQ74" s="424"/>
      <c r="AR74" s="292"/>
      <c r="AS74" s="292"/>
      <c r="AT74" s="292" t="s">
        <v>208</v>
      </c>
      <c r="AU74" s="292" t="s">
        <v>208</v>
      </c>
      <c r="AV74" s="292"/>
      <c r="AW74" s="7"/>
      <c r="AX74" s="7"/>
      <c r="AY74" s="7"/>
      <c r="AZ74" s="7"/>
      <c r="BA74" s="7"/>
      <c r="BB74" s="7"/>
      <c r="BC74" s="7"/>
      <c r="BD74" s="7"/>
      <c r="BE74" s="7"/>
      <c r="BF74" s="7"/>
      <c r="BG74" s="7"/>
      <c r="BH74" s="7"/>
      <c r="BI74" s="7"/>
      <c r="BJ74" s="7"/>
      <c r="BK74" s="7"/>
      <c r="BL74" s="7"/>
      <c r="BM74" s="7"/>
      <c r="BN74" s="7"/>
      <c r="BO74" s="7"/>
      <c r="BP74" s="7"/>
      <c r="BQ74" s="7" t="s">
        <v>22</v>
      </c>
      <c r="BR74" s="7"/>
      <c r="BS74" s="7"/>
      <c r="BT74" s="7"/>
    </row>
    <row r="75" spans="1:72" ht="151.5" customHeight="1" x14ac:dyDescent="0.3">
      <c r="A75" s="493"/>
      <c r="B75" s="527"/>
      <c r="C75" s="527"/>
      <c r="D75" s="520"/>
      <c r="E75" s="522"/>
      <c r="F75" s="427"/>
      <c r="G75" s="427"/>
      <c r="H75" s="427"/>
      <c r="I75" s="427"/>
      <c r="J75" s="427"/>
      <c r="K75" s="424"/>
      <c r="L75" s="429"/>
      <c r="M75" s="431"/>
      <c r="N75" s="473"/>
      <c r="O75" s="481"/>
      <c r="P75" s="429"/>
      <c r="Q75" s="431"/>
      <c r="R75" s="486"/>
      <c r="S75" s="125">
        <v>2</v>
      </c>
      <c r="T75" s="259" t="s">
        <v>404</v>
      </c>
      <c r="U75" s="260" t="s">
        <v>154</v>
      </c>
      <c r="V75" s="261" t="s">
        <v>169</v>
      </c>
      <c r="W75" s="261" t="s">
        <v>156</v>
      </c>
      <c r="X75" s="262" t="str">
        <f t="shared" si="121"/>
        <v>30%</v>
      </c>
      <c r="Y75" s="261" t="s">
        <v>157</v>
      </c>
      <c r="Z75" s="261" t="s">
        <v>158</v>
      </c>
      <c r="AA75" s="261" t="s">
        <v>159</v>
      </c>
      <c r="AB75" s="263">
        <f>IFERROR(IF(U75="Probabilidad",(AB74-(+AB74*X75)),IF(U75="Impacto",AB74,"")),"")</f>
        <v>0.252</v>
      </c>
      <c r="AC75" s="269" t="str">
        <f t="shared" si="98"/>
        <v>Baja</v>
      </c>
      <c r="AD75" s="124">
        <f t="shared" si="122"/>
        <v>0.252</v>
      </c>
      <c r="AE75" s="269" t="str">
        <f t="shared" ca="1" si="123"/>
        <v>Mayor</v>
      </c>
      <c r="AF75" s="264">
        <f ca="1">IFERROR(IF(U75="Impacto",(Q74-(+Q74*X75)),IF(U75="Probabilidad",Q74,"")),"")</f>
        <v>0.8</v>
      </c>
      <c r="AG75" s="265" t="str">
        <f t="shared" ca="1" si="124"/>
        <v>Alto</v>
      </c>
      <c r="AH75" s="266" t="s">
        <v>160</v>
      </c>
      <c r="AI75" s="427"/>
      <c r="AJ75" s="187" t="s">
        <v>10</v>
      </c>
      <c r="AK75" s="188" t="s">
        <v>405</v>
      </c>
      <c r="AL75" s="189"/>
      <c r="AM75" s="260"/>
      <c r="AN75" s="277" t="s">
        <v>165</v>
      </c>
      <c r="AO75" s="425"/>
      <c r="AP75" s="425"/>
      <c r="AQ75" s="425"/>
      <c r="AR75" s="277"/>
      <c r="AS75" s="277"/>
      <c r="AT75" s="277" t="s">
        <v>208</v>
      </c>
      <c r="AU75" s="277" t="s">
        <v>208</v>
      </c>
      <c r="AV75" s="277"/>
      <c r="AW75" s="7"/>
      <c r="AX75" s="7"/>
      <c r="AY75" s="7"/>
      <c r="AZ75" s="7"/>
      <c r="BA75" s="7"/>
      <c r="BB75" s="7"/>
      <c r="BC75" s="7"/>
      <c r="BD75" s="7"/>
      <c r="BE75" s="7"/>
      <c r="BF75" s="7"/>
      <c r="BG75" s="7"/>
      <c r="BH75" s="7"/>
      <c r="BI75" s="7"/>
      <c r="BJ75" s="7"/>
      <c r="BK75" s="7"/>
      <c r="BL75" s="7"/>
      <c r="BM75" s="7"/>
      <c r="BN75" s="7"/>
      <c r="BO75" s="7"/>
      <c r="BP75" s="7"/>
      <c r="BQ75" s="7"/>
      <c r="BR75" s="7"/>
      <c r="BS75" s="7"/>
      <c r="BT75" s="7"/>
    </row>
    <row r="76" spans="1:72" ht="151.5" customHeight="1" x14ac:dyDescent="0.3">
      <c r="A76" s="531" t="s">
        <v>7</v>
      </c>
      <c r="B76" s="527" t="s">
        <v>406</v>
      </c>
      <c r="C76" s="527" t="s">
        <v>407</v>
      </c>
      <c r="D76" s="520" t="s">
        <v>14</v>
      </c>
      <c r="E76" s="491">
        <v>1</v>
      </c>
      <c r="F76" s="426" t="s">
        <v>172</v>
      </c>
      <c r="G76" s="426" t="s">
        <v>408</v>
      </c>
      <c r="H76" s="426" t="s">
        <v>409</v>
      </c>
      <c r="I76" s="426" t="s">
        <v>410</v>
      </c>
      <c r="J76" s="426" t="s">
        <v>188</v>
      </c>
      <c r="K76" s="424">
        <v>2</v>
      </c>
      <c r="L76" s="428" t="str">
        <f>IF(K76&lt;=0,"",IF(K76&lt;=2,"Muy Baja",IF(K76&lt;=24,"Baja",IF(K76&lt;=500,"Media",IF(K76&lt;=5000,"Alta","Muy Alta")))))</f>
        <v>Muy Baja</v>
      </c>
      <c r="M76" s="430">
        <f>IF(L76="","",IF(L76="Muy Baja",0.2,IF(L76="Baja",0.4,IF(L76="Media",0.6,IF(L76="Alta",0.8,IF(L76="Muy Alta",1,))))))</f>
        <v>0.2</v>
      </c>
      <c r="N76" s="555" t="s">
        <v>152</v>
      </c>
      <c r="O76" s="284" t="str">
        <f>IF(NOT(ISERROR(MATCH(N76,'[7]Tabla Impacto'!$B$221:$B$223,0))),'[7]Tabla Impacto'!$F$223&amp;"Por favor no seleccionar los criterios de impacto(Afectación Económica o presupuestal y Pérdida Reputacional)",N76)</f>
        <v xml:space="preserve">     El riesgo afecta la imagen de la entidad con algunos usuarios de relevancia frente al logro de los objetivos</v>
      </c>
      <c r="P76" s="428" t="str">
        <f>IF(OR(O76='[7]Tabla Impacto'!$C$11,O76='[7]Tabla Impacto'!$D$11),"Leve",IF(OR(O76='[7]Tabla Impacto'!$C$12,O76='[7]Tabla Impacto'!$D$12),"Menor",IF(OR(O76='[7]Tabla Impacto'!$C$13,O76='[7]Tabla Impacto'!$D$13),"Moderado",IF(OR(O76='[7]Tabla Impacto'!$C$14,O76='[7]Tabla Impacto'!$D$14),"Mayor",IF(OR(O76='[7]Tabla Impacto'!$C$15,O76='[7]Tabla Impacto'!$D$15),"Catastrófico","")))))</f>
        <v>Moderado</v>
      </c>
      <c r="Q76" s="430">
        <f>IF(P76="","",IF(P76="Leve",0.2,IF(P76="Menor",0.4,IF(P76="Moderado",0.6,IF(P76="Mayor",0.8,IF(P76="Catastrófico",1,))))))</f>
        <v>0.6</v>
      </c>
      <c r="R76" s="484" t="str">
        <f>IF(OR(AND(L76="Muy Baja",P76="Leve"),AND(L76="Muy Baja",P76="Menor"),AND(L76="Baja",P76="Leve")),"Bajo",IF(OR(AND(L76="Muy baja",P76="Moderado"),AND(L76="Baja",P76="Menor"),AND(L76="Baja",P76="Moderado"),AND(L76="Media",P76="Leve"),AND(L76="Media",P76="Menor"),AND(L76="Media",P76="Moderado"),AND(L76="Alta",P76="Leve"),AND(L76="Alta",P76="Menor")),"Moderado",IF(OR(AND(L76="Muy Baja",P76="Mayor"),AND(L76="Baja",P76="Mayor"),AND(L76="Media",P76="Mayor"),AND(L76="Alta",P76="Moderado"),AND(L76="Alta",P76="Mayor"),AND(L76="Muy Alta",P76="Leve"),AND(L76="Muy Alta",P76="Menor"),AND(L76="Muy Alta",P76="Moderado"),AND(L76="Muy Alta",P76="Mayor")),"Alto",IF(OR(AND(L76="Muy Baja",P76="Catastrófico"),AND(L76="Baja",P76="Catastrófico"),AND(L76="Media",P76="Catastrófico"),AND(L76="Alta",P76="Catastrófico"),AND(L76="Muy Alta",P76="Catastrófico")),"Extremo",""))))</f>
        <v>Moderado</v>
      </c>
      <c r="S76" s="125">
        <v>1</v>
      </c>
      <c r="T76" s="259" t="s">
        <v>411</v>
      </c>
      <c r="U76" s="260" t="str">
        <f>IF(OR(V76="Preventivo",V76="Detectivo"),"Probabilidad",IF(V76="Correctivo","Impacto",""))</f>
        <v>Probabilidad</v>
      </c>
      <c r="V76" s="261" t="s">
        <v>155</v>
      </c>
      <c r="W76" s="261" t="s">
        <v>156</v>
      </c>
      <c r="X76" s="262" t="str">
        <f t="shared" si="121"/>
        <v>40%</v>
      </c>
      <c r="Y76" s="261" t="s">
        <v>157</v>
      </c>
      <c r="Z76" s="261" t="s">
        <v>158</v>
      </c>
      <c r="AA76" s="261" t="s">
        <v>159</v>
      </c>
      <c r="AB76" s="263">
        <f>IFERROR(IF(U76="Probabilidad",(M76-(+M76*X76)),IF(U76="Impacto",M76,"")),"")</f>
        <v>0.12</v>
      </c>
      <c r="AC76" s="269" t="str">
        <f t="shared" si="98"/>
        <v>Muy Baja</v>
      </c>
      <c r="AD76" s="264">
        <f t="shared" si="122"/>
        <v>0.12</v>
      </c>
      <c r="AE76" s="269" t="str">
        <f t="shared" si="123"/>
        <v>Moderado</v>
      </c>
      <c r="AF76" s="264">
        <f>IFERROR(IF(U76="Impacto",(Q76-(+Q76*X76)),IF(U76="Probabilidad",Q76,"")),"")</f>
        <v>0.6</v>
      </c>
      <c r="AG76" s="265" t="str">
        <f t="shared" si="124"/>
        <v>Moderado</v>
      </c>
      <c r="AH76" s="266" t="s">
        <v>160</v>
      </c>
      <c r="AI76" s="466"/>
      <c r="AJ76" s="187" t="s">
        <v>14</v>
      </c>
      <c r="AK76" s="188">
        <v>44378</v>
      </c>
      <c r="AL76" s="189" t="s">
        <v>326</v>
      </c>
      <c r="AM76" s="131"/>
      <c r="AN76" s="277" t="s">
        <v>165</v>
      </c>
      <c r="AO76" s="468"/>
      <c r="AP76" s="468"/>
      <c r="AQ76" s="468"/>
      <c r="AR76" s="277"/>
      <c r="AS76" s="277"/>
      <c r="AT76" s="277"/>
      <c r="AU76" s="277" t="s">
        <v>208</v>
      </c>
      <c r="AV76" s="277"/>
      <c r="AW76" s="7"/>
      <c r="AX76" s="7"/>
      <c r="AY76" s="7"/>
      <c r="AZ76" s="7"/>
      <c r="BA76" s="7"/>
      <c r="BB76" s="7"/>
      <c r="BC76" s="7"/>
      <c r="BD76" s="7"/>
      <c r="BE76" s="7"/>
      <c r="BF76" s="7"/>
      <c r="BG76" s="7"/>
      <c r="BH76" s="7"/>
      <c r="BI76" s="7"/>
      <c r="BJ76" s="7"/>
      <c r="BK76" s="7"/>
      <c r="BL76" s="7"/>
      <c r="BM76" s="7"/>
      <c r="BN76" s="7"/>
      <c r="BO76" s="7"/>
      <c r="BP76" s="7"/>
      <c r="BQ76" s="7"/>
      <c r="BR76" s="7"/>
      <c r="BS76" s="7"/>
      <c r="BT76" s="7"/>
    </row>
    <row r="77" spans="1:72" ht="151.5" customHeight="1" x14ac:dyDescent="0.3">
      <c r="A77" s="531"/>
      <c r="B77" s="533"/>
      <c r="C77" s="521"/>
      <c r="D77" s="521"/>
      <c r="E77" s="522"/>
      <c r="F77" s="427"/>
      <c r="G77" s="427"/>
      <c r="H77" s="427"/>
      <c r="I77" s="427"/>
      <c r="J77" s="427"/>
      <c r="K77" s="424"/>
      <c r="L77" s="429"/>
      <c r="M77" s="431"/>
      <c r="N77" s="473"/>
      <c r="O77" s="288"/>
      <c r="P77" s="429"/>
      <c r="Q77" s="431"/>
      <c r="R77" s="486"/>
      <c r="S77" s="125">
        <v>2</v>
      </c>
      <c r="T77" s="259" t="s">
        <v>412</v>
      </c>
      <c r="U77" s="260" t="str">
        <f>IF(OR(V77="Preventivo",V77="Detectivo"),"Probabilidad",IF(V77="Correctivo","Impacto",""))</f>
        <v>Probabilidad</v>
      </c>
      <c r="V77" s="261" t="s">
        <v>169</v>
      </c>
      <c r="W77" s="261" t="s">
        <v>156</v>
      </c>
      <c r="X77" s="262" t="str">
        <f t="shared" si="121"/>
        <v>30%</v>
      </c>
      <c r="Y77" s="261" t="s">
        <v>157</v>
      </c>
      <c r="Z77" s="261" t="s">
        <v>158</v>
      </c>
      <c r="AA77" s="261" t="s">
        <v>159</v>
      </c>
      <c r="AB77" s="263">
        <f>IFERROR(IF(U77="Probabilidad",(AB76-(+AB76*X77)),IF(U77="Impacto",M76,"")),"")</f>
        <v>8.3999999999999991E-2</v>
      </c>
      <c r="AC77" s="269" t="str">
        <f t="shared" si="98"/>
        <v>Muy Baja</v>
      </c>
      <c r="AD77" s="124">
        <f t="shared" si="122"/>
        <v>8.3999999999999991E-2</v>
      </c>
      <c r="AE77" s="269" t="str">
        <f t="shared" si="123"/>
        <v>Moderado</v>
      </c>
      <c r="AF77" s="264">
        <f>IFERROR(IF(U77="Impacto",(Q76-(+Q76*X77)),IF(U77="Probabilidad",Q76,"")),"")</f>
        <v>0.6</v>
      </c>
      <c r="AG77" s="265" t="str">
        <f t="shared" si="124"/>
        <v>Moderado</v>
      </c>
      <c r="AH77" s="266" t="s">
        <v>160</v>
      </c>
      <c r="AI77" s="427"/>
      <c r="AJ77" s="187" t="s">
        <v>14</v>
      </c>
      <c r="AK77" s="188">
        <v>44501</v>
      </c>
      <c r="AL77" s="189" t="s">
        <v>326</v>
      </c>
      <c r="AM77" s="260"/>
      <c r="AN77" s="277" t="s">
        <v>165</v>
      </c>
      <c r="AO77" s="425"/>
      <c r="AP77" s="425"/>
      <c r="AQ77" s="425"/>
      <c r="AR77" s="277"/>
      <c r="AS77" s="277"/>
      <c r="AT77" s="277"/>
      <c r="AU77" s="277" t="s">
        <v>208</v>
      </c>
      <c r="AV77" s="277"/>
      <c r="AW77" s="7"/>
      <c r="AX77" s="7"/>
      <c r="AY77" s="7"/>
      <c r="AZ77" s="7"/>
      <c r="BA77" s="7"/>
      <c r="BB77" s="7"/>
      <c r="BC77" s="7"/>
      <c r="BD77" s="7"/>
      <c r="BE77" s="7"/>
      <c r="BF77" s="7"/>
      <c r="BG77" s="7"/>
      <c r="BH77" s="7"/>
      <c r="BI77" s="7"/>
      <c r="BJ77" s="7"/>
      <c r="BK77" s="7"/>
      <c r="BL77" s="7"/>
      <c r="BM77" s="7"/>
      <c r="BN77" s="7"/>
      <c r="BO77" s="7"/>
      <c r="BP77" s="7"/>
      <c r="BQ77" s="7"/>
      <c r="BR77" s="7"/>
      <c r="BS77" s="7"/>
      <c r="BT77" s="7"/>
    </row>
    <row r="78" spans="1:72" ht="151.5" customHeight="1" x14ac:dyDescent="0.3">
      <c r="A78" s="531"/>
      <c r="B78" s="533"/>
      <c r="C78" s="521"/>
      <c r="D78" s="521"/>
      <c r="E78" s="490">
        <v>2</v>
      </c>
      <c r="F78" s="466" t="s">
        <v>147</v>
      </c>
      <c r="G78" s="466" t="s">
        <v>413</v>
      </c>
      <c r="H78" s="466" t="s">
        <v>414</v>
      </c>
      <c r="I78" s="466" t="s">
        <v>415</v>
      </c>
      <c r="J78" s="426" t="s">
        <v>151</v>
      </c>
      <c r="K78" s="468">
        <v>2</v>
      </c>
      <c r="L78" s="428" t="str">
        <f>IF(K78&lt;=0,"",IF(K78&lt;=2,"Muy Baja",IF(K78&lt;=24,"Baja",IF(K78&lt;=500,"Media",IF(K78&lt;=5000,"Alta","Muy Alta")))))</f>
        <v>Muy Baja</v>
      </c>
      <c r="M78" s="430">
        <f>IF(L78="","",IF(L78="Muy Baja",0.2,IF(L78="Baja",0.4,IF(L78="Media",0.6,IF(L78="Alta",0.8,IF(L78="Muy Alta",1,))))))</f>
        <v>0.2</v>
      </c>
      <c r="N78" s="693" t="s">
        <v>416</v>
      </c>
      <c r="O78" s="288" t="str">
        <f ca="1">IF(NOT(ISERROR(MATCH(N78,_xlfn.ANCHORARRAY(I89),0))),M92&amp;"Por favor no seleccionar los criterios de impacto",N78)</f>
        <v xml:space="preserve">     Entre 10 y 50 SMLMV </v>
      </c>
      <c r="P78" s="428" t="str">
        <f ca="1">IF(OR(O78='[7]Tabla Impacto'!$C$11,O78='[7]Tabla Impacto'!$D$11),"Leve",IF(OR(O78='[7]Tabla Impacto'!$C$12,O78='[7]Tabla Impacto'!$D$12),"Menor",IF(OR(O78='[7]Tabla Impacto'!$C$13,O78='[7]Tabla Impacto'!$D$13),"Moderado",IF(OR(O78='[7]Tabla Impacto'!$C$14,O78='[7]Tabla Impacto'!$D$14),"Mayor",IF(OR(O78='[7]Tabla Impacto'!$C$15,O78='[7]Tabla Impacto'!$D$15),"Catastrófico","")))))</f>
        <v>Menor</v>
      </c>
      <c r="Q78" s="430">
        <v>0.6</v>
      </c>
      <c r="R78" s="484" t="str">
        <f ca="1">IF(OR(AND(L78="Muy Baja",P78="Leve"),AND(L78="Muy Baja",P78="Menor"),AND(L78="Baja",P78="Leve")),"Bajo",IF(OR(AND(L78="Muy baja",P78="Moderado"),AND(L78="Baja",P78="Menor"),AND(L78="Baja",P78="Moderado"),AND(L78="Media",P78="Leve"),AND(L78="Media",P78="Menor"),AND(L78="Media",P78="Moderado"),AND(L78="Alta",P78="Leve"),AND(L78="Alta",P78="Menor")),"Moderado",IF(OR(AND(L78="Muy Baja",P78="Mayor"),AND(L78="Baja",P78="Mayor"),AND(L78="Media",P78="Mayor"),AND(L78="Alta",P78="Moderado"),AND(L78="Alta",P78="Mayor"),AND(L78="Muy Alta",P78="Leve"),AND(L78="Muy Alta",P78="Menor"),AND(L78="Muy Alta",P78="Moderado"),AND(L78="Muy Alta",P78="Mayor")),"Alto",IF(OR(AND(L78="Muy Baja",P78="Catastrófico"),AND(L78="Baja",P78="Catastrófico"),AND(L78="Media",P78="Catastrófico"),AND(L78="Alta",P78="Catastrófico"),AND(L78="Muy Alta",P78="Catastrófico")),"Extremo",""))))</f>
        <v>Bajo</v>
      </c>
      <c r="S78" s="125">
        <v>1</v>
      </c>
      <c r="T78" s="259" t="s">
        <v>417</v>
      </c>
      <c r="U78" s="260" t="s">
        <v>154</v>
      </c>
      <c r="V78" s="261" t="s">
        <v>155</v>
      </c>
      <c r="W78" s="261" t="s">
        <v>156</v>
      </c>
      <c r="X78" s="262" t="str">
        <f t="shared" si="121"/>
        <v>40%</v>
      </c>
      <c r="Y78" s="261" t="s">
        <v>157</v>
      </c>
      <c r="Z78" s="261" t="s">
        <v>158</v>
      </c>
      <c r="AA78" s="261" t="s">
        <v>159</v>
      </c>
      <c r="AB78" s="263">
        <f>IFERROR(IF(U78="Probabilidad",(M78-(+M78*X78)),IF(U78="Impacto",M78,"")),"")</f>
        <v>0.12</v>
      </c>
      <c r="AC78" s="269" t="str">
        <f t="shared" si="98"/>
        <v>Muy Baja</v>
      </c>
      <c r="AD78" s="264">
        <f t="shared" si="122"/>
        <v>0.12</v>
      </c>
      <c r="AE78" s="269" t="str">
        <f t="shared" si="123"/>
        <v>Moderado</v>
      </c>
      <c r="AF78" s="264">
        <f>IFERROR(IF(U78="Impacto",(Q78-(+Q78*X78)),IF(U78="Probabilidad",Q78,"")),"")</f>
        <v>0.6</v>
      </c>
      <c r="AG78" s="265" t="str">
        <f t="shared" si="124"/>
        <v>Moderado</v>
      </c>
      <c r="AH78" s="266" t="s">
        <v>160</v>
      </c>
      <c r="AI78" s="466"/>
      <c r="AJ78" s="268" t="s">
        <v>14</v>
      </c>
      <c r="AK78" s="188" t="s">
        <v>235</v>
      </c>
      <c r="AL78" s="189" t="s">
        <v>392</v>
      </c>
      <c r="AM78" s="268"/>
      <c r="AN78" s="277" t="s">
        <v>165</v>
      </c>
      <c r="AO78" s="468"/>
      <c r="AP78" s="468"/>
      <c r="AQ78" s="468"/>
      <c r="AR78" s="277" t="s">
        <v>166</v>
      </c>
      <c r="AS78" s="277"/>
      <c r="AT78" s="277" t="s">
        <v>166</v>
      </c>
      <c r="AU78" s="277" t="s">
        <v>166</v>
      </c>
      <c r="AV78" s="277"/>
      <c r="AW78" s="7"/>
      <c r="AX78" s="7"/>
      <c r="AY78" s="7"/>
      <c r="AZ78" s="7"/>
      <c r="BA78" s="7"/>
      <c r="BB78" s="7"/>
      <c r="BC78" s="7"/>
      <c r="BD78" s="7"/>
      <c r="BE78" s="7"/>
      <c r="BF78" s="7"/>
      <c r="BG78" s="7"/>
      <c r="BH78" s="7"/>
      <c r="BI78" s="7"/>
      <c r="BJ78" s="7"/>
      <c r="BK78" s="7"/>
      <c r="BL78" s="7"/>
      <c r="BM78" s="7"/>
      <c r="BN78" s="7"/>
      <c r="BO78" s="7"/>
      <c r="BP78" s="7"/>
      <c r="BQ78" s="7"/>
      <c r="BR78" s="7"/>
      <c r="BS78" s="7"/>
      <c r="BT78" s="7"/>
    </row>
    <row r="79" spans="1:72" ht="151.5" customHeight="1" x14ac:dyDescent="0.3">
      <c r="A79" s="531"/>
      <c r="B79" s="533"/>
      <c r="C79" s="521"/>
      <c r="D79" s="521"/>
      <c r="E79" s="522"/>
      <c r="F79" s="427"/>
      <c r="G79" s="427"/>
      <c r="H79" s="427"/>
      <c r="I79" s="427"/>
      <c r="J79" s="427"/>
      <c r="K79" s="424"/>
      <c r="L79" s="429"/>
      <c r="M79" s="431"/>
      <c r="N79" s="694"/>
      <c r="O79" s="288">
        <f ca="1">IF(NOT(ISERROR(MATCH(N79,_xlfn.ANCHORARRAY(I91),0))),M95&amp;"Por favor no seleccionar los criterios de impacto",N79)</f>
        <v>0</v>
      </c>
      <c r="P79" s="429"/>
      <c r="Q79" s="481"/>
      <c r="R79" s="486"/>
      <c r="S79" s="125">
        <v>2</v>
      </c>
      <c r="T79" s="259" t="s">
        <v>418</v>
      </c>
      <c r="U79" s="260" t="s">
        <v>154</v>
      </c>
      <c r="V79" s="261" t="s">
        <v>211</v>
      </c>
      <c r="W79" s="261" t="s">
        <v>156</v>
      </c>
      <c r="X79" s="262" t="str">
        <f t="shared" si="121"/>
        <v>25%</v>
      </c>
      <c r="Y79" s="261" t="s">
        <v>157</v>
      </c>
      <c r="Z79" s="261" t="s">
        <v>158</v>
      </c>
      <c r="AA79" s="261" t="s">
        <v>159</v>
      </c>
      <c r="AB79" s="263">
        <f>IFERROR(IF(U79="Probabilidad",(AB78-(+AB78*X79)),IF(U79="Impacto",AB78,"")),"")</f>
        <v>0.09</v>
      </c>
      <c r="AC79" s="269" t="str">
        <f t="shared" si="98"/>
        <v>Muy Baja</v>
      </c>
      <c r="AD79" s="264">
        <f t="shared" si="122"/>
        <v>0.09</v>
      </c>
      <c r="AE79" s="269" t="str">
        <f t="shared" si="123"/>
        <v>Moderado</v>
      </c>
      <c r="AF79" s="264">
        <f>IFERROR(IF(U79="Impacto",(Q78-(+Q78*X79)),IF(U79="Probabilidad",Q78,"")),"")</f>
        <v>0.6</v>
      </c>
      <c r="AG79" s="265" t="str">
        <f t="shared" si="124"/>
        <v>Moderado</v>
      </c>
      <c r="AH79" s="266" t="s">
        <v>160</v>
      </c>
      <c r="AI79" s="427"/>
      <c r="AJ79" s="268" t="s">
        <v>14</v>
      </c>
      <c r="AK79" s="188" t="s">
        <v>235</v>
      </c>
      <c r="AL79" s="189" t="s">
        <v>326</v>
      </c>
      <c r="AM79" s="268"/>
      <c r="AN79" s="277" t="s">
        <v>165</v>
      </c>
      <c r="AO79" s="424"/>
      <c r="AP79" s="424"/>
      <c r="AQ79" s="424"/>
      <c r="AR79" s="277" t="s">
        <v>166</v>
      </c>
      <c r="AS79" s="277"/>
      <c r="AT79" s="277" t="s">
        <v>166</v>
      </c>
      <c r="AU79" s="277" t="s">
        <v>166</v>
      </c>
      <c r="AV79" s="277"/>
      <c r="AW79" s="7"/>
      <c r="AX79" s="7"/>
      <c r="AY79" s="7"/>
      <c r="AZ79" s="7"/>
      <c r="BA79" s="7"/>
      <c r="BB79" s="7"/>
      <c r="BC79" s="7"/>
      <c r="BD79" s="7"/>
      <c r="BE79" s="7"/>
      <c r="BF79" s="7"/>
      <c r="BG79" s="7"/>
      <c r="BH79" s="7"/>
      <c r="BI79" s="7"/>
      <c r="BJ79" s="7"/>
      <c r="BK79" s="7"/>
      <c r="BL79" s="7"/>
      <c r="BM79" s="7"/>
      <c r="BN79" s="7"/>
      <c r="BO79" s="7"/>
      <c r="BP79" s="7"/>
      <c r="BQ79" s="7"/>
      <c r="BR79" s="7"/>
      <c r="BS79" s="7"/>
      <c r="BT79" s="7"/>
    </row>
    <row r="80" spans="1:72" ht="201.75" customHeight="1" x14ac:dyDescent="0.3">
      <c r="A80" s="526" t="s">
        <v>19</v>
      </c>
      <c r="B80" s="526" t="s">
        <v>419</v>
      </c>
      <c r="C80" s="526" t="s">
        <v>420</v>
      </c>
      <c r="D80" s="526" t="s">
        <v>28</v>
      </c>
      <c r="E80" s="491">
        <v>1</v>
      </c>
      <c r="F80" s="426" t="s">
        <v>250</v>
      </c>
      <c r="G80" s="426" t="s">
        <v>421</v>
      </c>
      <c r="H80" s="426" t="s">
        <v>422</v>
      </c>
      <c r="I80" s="426" t="s">
        <v>423</v>
      </c>
      <c r="J80" s="426" t="s">
        <v>188</v>
      </c>
      <c r="K80" s="424">
        <v>450</v>
      </c>
      <c r="L80" s="428" t="str">
        <f>IF(K80&lt;=0,"",IF(K80&lt;=2,"Muy Baja",IF(K80&lt;=24,"Baja",IF(K80&lt;=500,"Media",IF(K80&lt;=5000,"Alta","Muy Alta")))))</f>
        <v>Media</v>
      </c>
      <c r="M80" s="430">
        <f>IF(L80="","",IF(L80="Muy Baja",0.2,IF(L80="Baja",0.4,IF(L80="Media",0.6,IF(L80="Alta",0.8,IF(L80="Muy Alta",1,))))))</f>
        <v>0.6</v>
      </c>
      <c r="N80" s="555" t="s">
        <v>346</v>
      </c>
      <c r="O80" s="651" t="str">
        <f ca="1">IF(NOT(ISERROR(MATCH(N80,_xlfn.ANCHORARRAY(#REF!),0))),#REF!&amp;"Por favor no seleccionar los criterios de impacto",N80)</f>
        <v xml:space="preserve">     Entre 100 y 500 SMLMV </v>
      </c>
      <c r="P80" s="428" t="str">
        <f ca="1">IF(OR(O80='[8]Tabla Impacto'!$C$11,O80='[8]Tabla Impacto'!$D$11),"Leve",IF(OR(O80='[8]Tabla Impacto'!$C$12,O80='[8]Tabla Impacto'!$D$12),"Menor",IF(OR(O80='[8]Tabla Impacto'!$C$13,O80='[8]Tabla Impacto'!$D$13),"Moderado",IF(OR(O80='[8]Tabla Impacto'!$C$14,O80='[8]Tabla Impacto'!$D$14),"Mayor",IF(OR(O80='[8]Tabla Impacto'!$C$15,O80='[8]Tabla Impacto'!$D$15),"Catastrófico","")))))</f>
        <v>Mayor</v>
      </c>
      <c r="Q80" s="430">
        <f ca="1">IF(P80="","",IF(P80="Leve",0.2,IF(P80="Menor",0.4,IF(P80="Moderado",0.6,IF(P80="Mayor",0.8,IF(P80="Catastrófico",1,))))))</f>
        <v>0.8</v>
      </c>
      <c r="R80" s="484" t="str">
        <f ca="1">IF(OR(AND(L80="Muy Baja",P80="Leve"),AND(L80="Muy Baja",P80="Menor"),AND(L80="Baja",P80="Leve")),"Bajo",IF(OR(AND(L80="Muy baja",P80="Moderado"),AND(L80="Baja",P80="Menor"),AND(L80="Baja",P80="Moderado"),AND(L80="Media",P80="Leve"),AND(L80="Media",P80="Menor"),AND(L80="Media",P80="Moderado"),AND(L80="Alta",P80="Leve"),AND(L80="Alta",P80="Menor")),"Moderado",IF(OR(AND(L80="Muy Baja",P80="Mayor"),AND(L80="Baja",P80="Mayor"),AND(L80="Media",P80="Mayor"),AND(L80="Alta",P80="Moderado"),AND(L80="Alta",P80="Mayor"),AND(L80="Muy Alta",P80="Leve"),AND(L80="Muy Alta",P80="Menor"),AND(L80="Muy Alta",P80="Moderado"),AND(L80="Muy Alta",P80="Mayor")),"Alto",IF(OR(AND(L80="Muy Baja",P80="Catastrófico"),AND(L80="Baja",P80="Catastrófico"),AND(L80="Media",P80="Catastrófico"),AND(L80="Alta",P80="Catastrófico"),AND(L80="Muy Alta",P80="Catastrófico")),"Extremo",""))))</f>
        <v>Alto</v>
      </c>
      <c r="S80" s="6">
        <v>1</v>
      </c>
      <c r="T80" s="259" t="s">
        <v>592</v>
      </c>
      <c r="U80" s="260" t="str">
        <f>IF(OR(V80="Preventivo",V80="Detectivo"),"Probabilidad",IF(V80="Correctivo","Impacto",""))</f>
        <v>Probabilidad</v>
      </c>
      <c r="V80" s="261" t="s">
        <v>155</v>
      </c>
      <c r="W80" s="261" t="s">
        <v>156</v>
      </c>
      <c r="X80" s="262" t="str">
        <f t="shared" si="121"/>
        <v>40%</v>
      </c>
      <c r="Y80" s="261" t="s">
        <v>157</v>
      </c>
      <c r="Z80" s="261" t="s">
        <v>158</v>
      </c>
      <c r="AA80" s="261" t="s">
        <v>159</v>
      </c>
      <c r="AB80" s="263">
        <f>IFERROR(IF(U80="Probabilidad",(M80-(+M80*X80)),IF(U80="Impacto",M80,"")),"")</f>
        <v>0.36</v>
      </c>
      <c r="AC80" s="269" t="str">
        <f t="shared" si="98"/>
        <v>Baja</v>
      </c>
      <c r="AD80" s="264">
        <f t="shared" si="122"/>
        <v>0.36</v>
      </c>
      <c r="AE80" s="269" t="str">
        <f t="shared" ca="1" si="123"/>
        <v>Mayor</v>
      </c>
      <c r="AF80" s="264">
        <f ca="1">IFERROR(IF(U80="Impacto",(Q80-(+Q80*X80)),IF(U80="Probabilidad",Q80,"")),"")</f>
        <v>0.8</v>
      </c>
      <c r="AG80" s="265" t="str">
        <f t="shared" ca="1" si="124"/>
        <v>Alto</v>
      </c>
      <c r="AH80" s="266" t="s">
        <v>160</v>
      </c>
      <c r="AI80" s="466"/>
      <c r="AJ80" s="187" t="s">
        <v>424</v>
      </c>
      <c r="AK80" s="188" t="s">
        <v>596</v>
      </c>
      <c r="AL80" s="189" t="s">
        <v>207</v>
      </c>
      <c r="AM80" s="278" t="s">
        <v>593</v>
      </c>
      <c r="AN80" s="361" t="s">
        <v>165</v>
      </c>
      <c r="AO80" s="687"/>
      <c r="AP80" s="689"/>
      <c r="AQ80" s="691"/>
      <c r="AR80" s="362" t="s">
        <v>208</v>
      </c>
      <c r="AS80" s="277"/>
      <c r="AT80" s="277"/>
      <c r="AU80" s="277" t="s">
        <v>208</v>
      </c>
      <c r="AV80" s="277" t="s">
        <v>208</v>
      </c>
      <c r="AW80" s="7"/>
      <c r="AX80" s="7"/>
      <c r="AY80" s="7"/>
      <c r="AZ80" s="7"/>
      <c r="BA80" s="7"/>
      <c r="BB80" s="7"/>
      <c r="BC80" s="7"/>
      <c r="BD80" s="7"/>
      <c r="BE80" s="7"/>
      <c r="BF80" s="7"/>
      <c r="BG80" s="7"/>
      <c r="BH80" s="7"/>
      <c r="BI80" s="7"/>
      <c r="BJ80" s="7"/>
      <c r="BK80" s="7"/>
      <c r="BL80" s="7"/>
      <c r="BM80" s="7"/>
      <c r="BN80" s="7"/>
      <c r="BO80" s="7"/>
      <c r="BP80" s="7"/>
      <c r="BQ80" s="7"/>
      <c r="BR80" s="7"/>
      <c r="BS80" s="7"/>
      <c r="BT80" s="7"/>
    </row>
    <row r="81" spans="1:72" ht="151.5" customHeight="1" x14ac:dyDescent="0.3">
      <c r="A81" s="496"/>
      <c r="B81" s="496"/>
      <c r="C81" s="496"/>
      <c r="D81" s="496"/>
      <c r="E81" s="522"/>
      <c r="F81" s="427"/>
      <c r="G81" s="427"/>
      <c r="H81" s="427"/>
      <c r="I81" s="427"/>
      <c r="J81" s="427"/>
      <c r="K81" s="650"/>
      <c r="L81" s="429"/>
      <c r="M81" s="431"/>
      <c r="N81" s="473"/>
      <c r="O81" s="652"/>
      <c r="P81" s="429"/>
      <c r="Q81" s="431"/>
      <c r="R81" s="486"/>
      <c r="S81" s="6">
        <v>2</v>
      </c>
      <c r="T81" s="259" t="s">
        <v>598</v>
      </c>
      <c r="U81" s="260" t="s">
        <v>154</v>
      </c>
      <c r="V81" s="261" t="s">
        <v>169</v>
      </c>
      <c r="W81" s="261" t="s">
        <v>156</v>
      </c>
      <c r="X81" s="262" t="str">
        <f t="shared" si="121"/>
        <v>30%</v>
      </c>
      <c r="Y81" s="261" t="s">
        <v>157</v>
      </c>
      <c r="Z81" s="261" t="s">
        <v>158</v>
      </c>
      <c r="AA81" s="261" t="s">
        <v>159</v>
      </c>
      <c r="AB81" s="263">
        <f>IFERROR(IF(U81="Probabilidad",(AB80-(+AB80*X81)),IF(U81="Impacto",AB80,"")),"")</f>
        <v>0.252</v>
      </c>
      <c r="AC81" s="269" t="str">
        <f t="shared" si="98"/>
        <v>Baja</v>
      </c>
      <c r="AD81" s="124">
        <f t="shared" si="122"/>
        <v>0.252</v>
      </c>
      <c r="AE81" s="269" t="str">
        <f t="shared" ca="1" si="123"/>
        <v>Mayor</v>
      </c>
      <c r="AF81" s="264">
        <f ca="1">IFERROR(IF(U81="Impacto",(Q80-(+Q80*X81)),IF(U81="Probabilidad",Q80,"")),"")</f>
        <v>0.8</v>
      </c>
      <c r="AG81" s="265" t="str">
        <f t="shared" ca="1" si="124"/>
        <v>Alto</v>
      </c>
      <c r="AH81" s="266" t="s">
        <v>160</v>
      </c>
      <c r="AI81" s="427"/>
      <c r="AJ81" s="187" t="s">
        <v>424</v>
      </c>
      <c r="AK81" s="188" t="s">
        <v>596</v>
      </c>
      <c r="AL81" s="189" t="s">
        <v>207</v>
      </c>
      <c r="AM81" s="278" t="s">
        <v>593</v>
      </c>
      <c r="AN81" s="361" t="s">
        <v>165</v>
      </c>
      <c r="AO81" s="688"/>
      <c r="AP81" s="690"/>
      <c r="AQ81" s="692"/>
      <c r="AR81" s="362" t="s">
        <v>208</v>
      </c>
      <c r="AS81" s="277"/>
      <c r="AT81" s="277" t="s">
        <v>208</v>
      </c>
      <c r="AV81" s="277"/>
      <c r="AW81" s="7"/>
      <c r="AX81" s="7"/>
      <c r="AY81" s="7"/>
      <c r="AZ81" s="7"/>
      <c r="BA81" s="7"/>
      <c r="BB81" s="7"/>
      <c r="BC81" s="7"/>
      <c r="BD81" s="7"/>
      <c r="BE81" s="7"/>
      <c r="BF81" s="7"/>
      <c r="BG81" s="7"/>
      <c r="BH81" s="7"/>
      <c r="BI81" s="7"/>
      <c r="BJ81" s="7"/>
      <c r="BK81" s="7"/>
      <c r="BL81" s="7"/>
      <c r="BM81" s="7"/>
      <c r="BN81" s="7"/>
      <c r="BO81" s="7"/>
      <c r="BP81" s="7"/>
      <c r="BQ81" s="7"/>
      <c r="BR81" s="7"/>
      <c r="BS81" s="7"/>
      <c r="BT81" s="7"/>
    </row>
    <row r="82" spans="1:72" s="7" customFormat="1" ht="114.75" customHeight="1" x14ac:dyDescent="0.3">
      <c r="A82" s="496"/>
      <c r="B82" s="496"/>
      <c r="C82" s="496"/>
      <c r="D82" s="496"/>
      <c r="E82" s="639">
        <v>2</v>
      </c>
      <c r="F82" s="636" t="s">
        <v>147</v>
      </c>
      <c r="G82" s="636" t="s">
        <v>550</v>
      </c>
      <c r="H82" s="636" t="s">
        <v>555</v>
      </c>
      <c r="I82" s="653" t="s">
        <v>549</v>
      </c>
      <c r="J82" s="658" t="s">
        <v>188</v>
      </c>
      <c r="K82" s="446">
        <v>350</v>
      </c>
      <c r="L82" s="464" t="str">
        <f>IF(K82&lt;=0,"",IF(K82&lt;=2,"Muy Baja",IF(K82&lt;=24,"Baja",IF(K82&lt;=500,"Media",IF(K82&lt;=5000,"Alta","Muy Alta")))))</f>
        <v>Media</v>
      </c>
      <c r="M82" s="462">
        <f>IF(L82="","",IF(L82="Muy Baja",0.2,IF(L82="Baja",0.4,IF(L82="Media",0.6,IF(L82="Alta",0.8,IF(L82="Muy Alta",1,))))))</f>
        <v>0.6</v>
      </c>
      <c r="N82" s="655" t="s">
        <v>493</v>
      </c>
      <c r="O82" s="344" t="str">
        <f ca="1">IF(NOT(ISERROR(MATCH(N82,_xlfn.ANCHORARRAY(I94),0))),#REF!&amp;"Por favor no seleccionar los criterios de impacto",N82)</f>
        <v xml:space="preserve">Entre 10 y 50 SMLMV </v>
      </c>
      <c r="P82" s="464" t="str">
        <f ca="1">IF(OR(O82='Tabla Impacto'!$C$4,O82='Tabla Impacto'!$D$4),"Leve",IF(OR(O82='Tabla Impacto'!$C$5,O82='Tabla Impacto'!$D$5),"Menor",IF(OR(O82='Tabla Impacto'!$C$6,O82='Tabla Impacto'!$D$6),"Moderado",IF(OR(O82='Tabla Impacto'!$C$7,O82='Tabla Impacto'!$D$7),"Mayor",IF(OR(O82='Tabla Impacto'!$C$8,O82='Tabla Impacto'!$D$8),"Catastrófico","")))))</f>
        <v>Menor</v>
      </c>
      <c r="Q82" s="462">
        <f ca="1">IF(P82="","",IF(P82="Leve",0.2,IF(P82="Menor",0.4,IF(P82="Moderado",0.6,IF(P82="Mayor",0.8,IF(P82="Catastrófico",1,))))))</f>
        <v>0.4</v>
      </c>
      <c r="R82" s="460" t="str">
        <f ca="1">IF(OR(AND(L82="Muy Baja",P82="Leve"),AND(L82="Muy Baja",P82="Menor"),AND(L82="Baja",P82="Leve")),"Bajo",IF(OR(AND(L82="Muy baja",P82="Moderado"),AND(L82="Baja",P82="Menor"),AND(L82="Baja",P82="Moderado"),AND(L82="Media",P82="Leve"),AND(L82="Media",P82="Menor"),AND(L82="Media",P82="Moderado"),AND(L82="Alta",P82="Leve"),AND(L82="Alta",P82="Menor")),"Moderado",IF(OR(AND(L82="Muy Baja",P82="Mayor"),AND(L82="Baja",P82="Mayor"),AND(L82="Media",P82="Mayor"),AND(L82="Alta",P82="Moderado"),AND(L82="Alta",P82="Mayor"),AND(L82="Muy Alta",P82="Leve"),AND(L82="Muy Alta",P82="Menor"),AND(L82="Muy Alta",P82="Moderado"),AND(L82="Muy Alta",P82="Mayor")),"Alto",IF(OR(AND(L82="Muy Baja",P82="Catastrófico"),AND(L82="Baja",P82="Catastrófico"),AND(L82="Media",P82="Catastrófico"),AND(L82="Alta",P82="Catastrófico"),AND(L82="Muy Alta",P82="Catastrófico")),"Extremo",""))))</f>
        <v>Moderado</v>
      </c>
      <c r="S82" s="345">
        <v>1</v>
      </c>
      <c r="T82" s="346" t="s">
        <v>599</v>
      </c>
      <c r="U82" s="347" t="s">
        <v>154</v>
      </c>
      <c r="V82" s="261" t="s">
        <v>155</v>
      </c>
      <c r="W82" s="261" t="s">
        <v>156</v>
      </c>
      <c r="X82" s="262" t="str">
        <f t="shared" si="121"/>
        <v>40%</v>
      </c>
      <c r="Y82" s="261" t="s">
        <v>157</v>
      </c>
      <c r="Z82" s="261" t="s">
        <v>158</v>
      </c>
      <c r="AA82" s="261" t="s">
        <v>159</v>
      </c>
      <c r="AB82" s="360">
        <f>IFERROR(IF(U82="Probabilidad",(M82-(+M82*X82)),IF(U82="Impacto",M82,"")),"")</f>
        <v>0.36</v>
      </c>
      <c r="AC82" s="269" t="str">
        <f t="shared" ref="AC82:AC83" si="125">IFERROR(IF(AB82="","",IF(AB82&lt;=0.2,"Muy Baja",IF(AB82&lt;=0.4,"Baja",IF(AB82&lt;=0.6,"Media",IF(AB82&lt;=0.8,"Alta","Muy Alta"))))),"")</f>
        <v>Baja</v>
      </c>
      <c r="AD82" s="124">
        <f>+AB82</f>
        <v>0.36</v>
      </c>
      <c r="AE82" s="269" t="str">
        <f t="shared" ref="AE82:AE83" ca="1" si="126">IFERROR(IF(AF82="","",IF(AF82&lt;=0.2,"Leve",IF(AF82&lt;=0.4,"Menor",IF(AF82&lt;=0.6,"Moderado",IF(AF82&lt;=0.8,"Mayor","Catastrófico"))))),"")</f>
        <v>Menor</v>
      </c>
      <c r="AF82" s="264">
        <f ca="1">IFERROR(IF(U82="Impacto",(Q82-(+Q82*X82)),IF(U82="Probabilidad",Q82,"")),"")</f>
        <v>0.4</v>
      </c>
      <c r="AG82" s="265" t="str">
        <f t="shared" ref="AG82:AG83" ca="1" si="127">IFERROR(IF(OR(AND(AC82="Muy Baja",AE82="Leve"),AND(AC82="Muy Baja",AE82="Menor"),AND(AC82="Baja",AE82="Leve")),"Bajo",IF(OR(AND(AC82="Muy baja",AE82="Moderado"),AND(AC82="Baja",AE82="Menor"),AND(AC82="Baja",AE82="Moderado"),AND(AC82="Media",AE82="Leve"),AND(AC82="Media",AE82="Menor"),AND(AC82="Media",AE82="Moderado"),AND(AC82="Alta",AE82="Leve"),AND(AC82="Alta",AE82="Menor")),"Moderado",IF(OR(AND(AC82="Muy Baja",AE82="Mayor"),AND(AC82="Baja",AE82="Mayor"),AND(AC82="Media",AE82="Mayor"),AND(AC82="Alta",AE82="Moderado"),AND(AC82="Alta",AE82="Mayor"),AND(AC82="Muy Alta",AE82="Leve"),AND(AC82="Muy Alta",AE82="Menor"),AND(AC82="Muy Alta",AE82="Moderado"),AND(AC82="Muy Alta",AE82="Mayor")),"Alto",IF(OR(AND(AC82="Muy Baja",AE82="Catastrófico"),AND(AC82="Baja",AE82="Catastrófico"),AND(AC82="Media",AE82="Catastrófico"),AND(AC82="Alta",AE82="Catastrófico"),AND(AC82="Muy Alta",AE82="Catastrófico")),"Extremo","")))),"")</f>
        <v>Moderado</v>
      </c>
      <c r="AH82" s="266" t="s">
        <v>160</v>
      </c>
      <c r="AI82" s="456"/>
      <c r="AJ82" s="187" t="s">
        <v>424</v>
      </c>
      <c r="AK82" s="188" t="s">
        <v>596</v>
      </c>
      <c r="AL82" s="349" t="s">
        <v>597</v>
      </c>
      <c r="AM82" s="278" t="s">
        <v>593</v>
      </c>
      <c r="AN82" s="350" t="s">
        <v>165</v>
      </c>
      <c r="AO82" s="432"/>
      <c r="AP82" s="434"/>
      <c r="AQ82" s="436"/>
      <c r="AR82" s="350"/>
      <c r="AS82" s="350"/>
      <c r="AT82" s="350"/>
      <c r="AU82" s="277" t="s">
        <v>208</v>
      </c>
      <c r="AV82" s="277" t="s">
        <v>208</v>
      </c>
    </row>
    <row r="83" spans="1:72" s="7" customFormat="1" ht="114.75" customHeight="1" x14ac:dyDescent="0.3">
      <c r="A83" s="496"/>
      <c r="B83" s="496"/>
      <c r="C83" s="496"/>
      <c r="D83" s="496"/>
      <c r="E83" s="640"/>
      <c r="F83" s="638"/>
      <c r="G83" s="638"/>
      <c r="H83" s="637"/>
      <c r="I83" s="654"/>
      <c r="J83" s="659"/>
      <c r="K83" s="657"/>
      <c r="L83" s="465"/>
      <c r="M83" s="463"/>
      <c r="N83" s="656"/>
      <c r="O83" s="344"/>
      <c r="P83" s="465"/>
      <c r="Q83" s="463"/>
      <c r="R83" s="461"/>
      <c r="S83" s="345">
        <v>2</v>
      </c>
      <c r="T83" s="346" t="s">
        <v>594</v>
      </c>
      <c r="U83" s="347" t="s">
        <v>154</v>
      </c>
      <c r="V83" s="348" t="s">
        <v>155</v>
      </c>
      <c r="W83" s="348" t="s">
        <v>156</v>
      </c>
      <c r="X83" s="262" t="str">
        <f t="shared" si="121"/>
        <v>40%</v>
      </c>
      <c r="Y83" s="261" t="s">
        <v>157</v>
      </c>
      <c r="Z83" s="261" t="s">
        <v>158</v>
      </c>
      <c r="AA83" s="261" t="s">
        <v>159</v>
      </c>
      <c r="AB83" s="360">
        <f>IFERROR(IF(U83="Probabilidad",(AB82-(+AB82*X83)),IF(U83="Impacto",AB82,"")),"")</f>
        <v>0.216</v>
      </c>
      <c r="AC83" s="269" t="str">
        <f t="shared" si="125"/>
        <v>Baja</v>
      </c>
      <c r="AD83" s="124">
        <f t="shared" ref="AD83" si="128">+AB83</f>
        <v>0.216</v>
      </c>
      <c r="AE83" s="269" t="str">
        <f t="shared" ca="1" si="126"/>
        <v>Menor</v>
      </c>
      <c r="AF83" s="264">
        <f ca="1">IFERROR(IF(U83="Impacto",(Q82-(+Q82*X83)),IF(U83="Probabilidad",Q82,"")),"")</f>
        <v>0.4</v>
      </c>
      <c r="AG83" s="265" t="str">
        <f t="shared" ca="1" si="127"/>
        <v>Moderado</v>
      </c>
      <c r="AH83" s="266" t="s">
        <v>160</v>
      </c>
      <c r="AI83" s="457"/>
      <c r="AJ83" s="187" t="s">
        <v>424</v>
      </c>
      <c r="AK83" s="188" t="s">
        <v>596</v>
      </c>
      <c r="AL83" s="349" t="s">
        <v>434</v>
      </c>
      <c r="AM83" s="278" t="s">
        <v>593</v>
      </c>
      <c r="AN83" s="350" t="s">
        <v>165</v>
      </c>
      <c r="AO83" s="433"/>
      <c r="AP83" s="435"/>
      <c r="AQ83" s="437"/>
      <c r="AR83" s="350"/>
      <c r="AS83" s="350"/>
      <c r="AT83" s="350"/>
      <c r="AU83" s="277" t="s">
        <v>208</v>
      </c>
      <c r="AV83" s="277" t="s">
        <v>208</v>
      </c>
    </row>
    <row r="84" spans="1:72" s="7" customFormat="1" ht="151.5" customHeight="1" x14ac:dyDescent="0.3">
      <c r="A84" s="496"/>
      <c r="B84" s="496"/>
      <c r="C84" s="496"/>
      <c r="D84" s="496"/>
      <c r="E84" s="641">
        <v>3</v>
      </c>
      <c r="F84" s="642" t="s">
        <v>250</v>
      </c>
      <c r="G84" s="644" t="s">
        <v>421</v>
      </c>
      <c r="H84" s="646" t="s">
        <v>556</v>
      </c>
      <c r="I84" s="648" t="s">
        <v>595</v>
      </c>
      <c r="J84" s="443" t="s">
        <v>188</v>
      </c>
      <c r="K84" s="445">
        <v>450</v>
      </c>
      <c r="L84" s="447" t="str">
        <f>IF(K84&lt;=0,"",IF(K84&lt;=2,"Muy Baja",IF(K84&lt;=24,"Baja",IF(K84&lt;=500,"Media",IF(K84&lt;=5000,"Alta","Muy Alta")))))</f>
        <v>Media</v>
      </c>
      <c r="M84" s="449">
        <f>IF(L84="","",IF(L84="Muy Baja",0.2,IF(L84="Baja",0.4,IF(L84="Media",0.6,IF(L84="Alta",0.8,IF(L84="Muy Alta",1,))))))</f>
        <v>0.6</v>
      </c>
      <c r="N84" s="451" t="s">
        <v>499</v>
      </c>
      <c r="O84" s="344" t="str">
        <f ca="1">IF(NOT(ISERROR(MATCH(N84,_xlfn.ANCHORARRAY(I95),0))),#REF!&amp;"Por favor no seleccionar los criterios de impacto",N84)</f>
        <v xml:space="preserve">Entre 100 y 500 SMLMV </v>
      </c>
      <c r="P84" s="447" t="str">
        <f ca="1">IF(OR(O84='Tabla Impacto'!$C$4,O84='Tabla Impacto'!$D$4),"Leve",IF(OR(O84='Tabla Impacto'!$C$5,O84='Tabla Impacto'!$D$5),"Menor",IF(OR(O84='Tabla Impacto'!$C$6,O84='Tabla Impacto'!$D$6),"Moderado",IF(OR(O84='Tabla Impacto'!$C$7,O84='Tabla Impacto'!$D$7),"Mayor",IF(OR(O84='Tabla Impacto'!$C$8,O84='Tabla Impacto'!$D$8),"Catastrófico","")))))</f>
        <v>Mayor</v>
      </c>
      <c r="Q84" s="449">
        <f ca="1">IF(P84="","",IF(P84="Leve",0.2,IF(P84="Menor",0.4,IF(P84="Moderado",0.6,IF(P84="Mayor",0.8,IF(P84="Catastrófico",1,))))))</f>
        <v>0.8</v>
      </c>
      <c r="R84" s="454" t="str">
        <f ca="1">IF(OR(AND(L84="Muy Baja",P84="Leve"),AND(L84="Muy Baja",P84="Menor"),AND(L84="Baja",P84="Leve")),"Bajo",IF(OR(AND(L84="Muy baja",P84="Moderado"),AND(L84="Baja",P84="Menor"),AND(L84="Baja",P84="Moderado"),AND(L84="Media",P84="Leve"),AND(L84="Media",P84="Menor"),AND(L84="Media",P84="Moderado"),AND(L84="Alta",P84="Leve"),AND(L84="Alta",P84="Menor")),"Moderado",IF(OR(AND(L84="Muy Baja",P84="Mayor"),AND(L84="Baja",P84="Mayor"),AND(L84="Media",P84="Mayor"),AND(L84="Alta",P84="Moderado"),AND(L84="Alta",P84="Mayor"),AND(L84="Muy Alta",P84="Leve"),AND(L84="Muy Alta",P84="Menor"),AND(L84="Muy Alta",P84="Moderado"),AND(L84="Muy Alta",P84="Mayor")),"Alto",IF(OR(AND(L84="Muy Baja",P84="Catastrófico"),AND(L84="Baja",P84="Catastrófico"),AND(L84="Media",P84="Catastrófico"),AND(L84="Alta",P84="Catastrófico"),AND(L84="Muy Alta",P84="Catastrófico")),"Extremo",""))))</f>
        <v>Alto</v>
      </c>
      <c r="S84" s="345">
        <v>1</v>
      </c>
      <c r="T84" s="351" t="s">
        <v>592</v>
      </c>
      <c r="U84" s="260" t="str">
        <f>IF(OR(V84="Preventivo",V84="Detectivo"),"Probabilidad",IF(V84="Correctivo","Impacto",""))</f>
        <v>Probabilidad</v>
      </c>
      <c r="V84" s="261" t="s">
        <v>155</v>
      </c>
      <c r="W84" s="261" t="s">
        <v>156</v>
      </c>
      <c r="X84" s="262" t="str">
        <f t="shared" ref="X84:X85" si="129">IF(AND(V84="Preventivo",W84="Automático"),"50%",IF(AND(V84="Preventivo",W84="Manual"),"40%",IF(AND(V84="Detectivo",W84="Automático"),"40%",IF(AND(V84="Detectivo",W84="Manual"),"30%",IF(AND(V84="Correctivo",W84="Automático"),"35%",IF(AND(V84="Correctivo",W84="Manual"),"25%",""))))))</f>
        <v>40%</v>
      </c>
      <c r="Y84" s="261" t="s">
        <v>157</v>
      </c>
      <c r="Z84" s="261" t="s">
        <v>158</v>
      </c>
      <c r="AA84" s="261" t="s">
        <v>159</v>
      </c>
      <c r="AB84" s="360">
        <f>IFERROR(IF(U84="Probabilidad",(M84-(+M84*X84)),IF(U84="Impacto",M84,"")),"")</f>
        <v>0.36</v>
      </c>
      <c r="AC84" s="269" t="str">
        <f t="shared" ref="AC84:AC85" si="130">IFERROR(IF(AB84="","",IF(AB84&lt;=0.2,"Muy Baja",IF(AB84&lt;=0.4,"Baja",IF(AB84&lt;=0.6,"Media",IF(AB84&lt;=0.8,"Alta","Muy Alta"))))),"")</f>
        <v>Baja</v>
      </c>
      <c r="AD84" s="124">
        <f t="shared" ref="AD84:AD85" si="131">+AB84</f>
        <v>0.36</v>
      </c>
      <c r="AE84" s="269" t="str">
        <f t="shared" ref="AE84:AE85" ca="1" si="132">IFERROR(IF(AF84="","",IF(AF84&lt;=0.2,"Leve",IF(AF84&lt;=0.4,"Menor",IF(AF84&lt;=0.6,"Moderado",IF(AF84&lt;=0.8,"Mayor","Catastrófico"))))),"")</f>
        <v>Mayor</v>
      </c>
      <c r="AF84" s="264">
        <f ca="1">IFERROR(IF(U84="Impacto",(Q84-(+Q84*X84)),IF(U84="Probabilidad",Q84,"")),"")</f>
        <v>0.8</v>
      </c>
      <c r="AG84" s="265" t="str">
        <f t="shared" ref="AG84:AG85" ca="1" si="133">IFERROR(IF(OR(AND(AC84="Muy Baja",AE84="Leve"),AND(AC84="Muy Baja",AE84="Menor"),AND(AC84="Baja",AE84="Leve")),"Bajo",IF(OR(AND(AC84="Muy baja",AE84="Moderado"),AND(AC84="Baja",AE84="Menor"),AND(AC84="Baja",AE84="Moderado"),AND(AC84="Media",AE84="Leve"),AND(AC84="Media",AE84="Menor"),AND(AC84="Media",AE84="Moderado"),AND(AC84="Alta",AE84="Leve"),AND(AC84="Alta",AE84="Menor")),"Moderado",IF(OR(AND(AC84="Muy Baja",AE84="Mayor"),AND(AC84="Baja",AE84="Mayor"),AND(AC84="Media",AE84="Mayor"),AND(AC84="Alta",AE84="Moderado"),AND(AC84="Alta",AE84="Mayor"),AND(AC84="Muy Alta",AE84="Leve"),AND(AC84="Muy Alta",AE84="Menor"),AND(AC84="Muy Alta",AE84="Moderado"),AND(AC84="Muy Alta",AE84="Mayor")),"Alto",IF(OR(AND(AC84="Muy Baja",AE84="Catastrófico"),AND(AC84="Baja",AE84="Catastrófico"),AND(AC84="Media",AE84="Catastrófico"),AND(AC84="Alta",AE84="Catastrófico"),AND(AC84="Muy Alta",AE84="Catastrófico")),"Extremo","")))),"")</f>
        <v>Alto</v>
      </c>
      <c r="AH84" s="266" t="s">
        <v>160</v>
      </c>
      <c r="AI84" s="458"/>
      <c r="AJ84" s="187" t="s">
        <v>424</v>
      </c>
      <c r="AK84" s="188" t="s">
        <v>596</v>
      </c>
      <c r="AL84" s="189" t="s">
        <v>207</v>
      </c>
      <c r="AM84" s="278" t="s">
        <v>593</v>
      </c>
      <c r="AN84" s="361" t="s">
        <v>165</v>
      </c>
      <c r="AO84" s="438"/>
      <c r="AP84" s="434"/>
      <c r="AQ84" s="441"/>
      <c r="AR84" s="362" t="s">
        <v>208</v>
      </c>
      <c r="AS84" s="277"/>
      <c r="AT84" s="277"/>
      <c r="AU84" s="277" t="s">
        <v>208</v>
      </c>
      <c r="AV84" s="277" t="s">
        <v>208</v>
      </c>
      <c r="AW84" s="164"/>
      <c r="AX84" s="164"/>
    </row>
    <row r="85" spans="1:72" s="7" customFormat="1" ht="151.5" customHeight="1" x14ac:dyDescent="0.3">
      <c r="A85" s="527"/>
      <c r="B85" s="527"/>
      <c r="C85" s="527"/>
      <c r="D85" s="527"/>
      <c r="E85" s="641"/>
      <c r="F85" s="643"/>
      <c r="G85" s="645"/>
      <c r="H85" s="647"/>
      <c r="I85" s="649"/>
      <c r="J85" s="444"/>
      <c r="K85" s="446"/>
      <c r="L85" s="448"/>
      <c r="M85" s="450"/>
      <c r="N85" s="452"/>
      <c r="O85" s="352"/>
      <c r="P85" s="453"/>
      <c r="Q85" s="450"/>
      <c r="R85" s="455"/>
      <c r="S85" s="345">
        <v>2</v>
      </c>
      <c r="T85" s="351" t="s">
        <v>598</v>
      </c>
      <c r="U85" s="260" t="s">
        <v>154</v>
      </c>
      <c r="V85" s="261" t="s">
        <v>169</v>
      </c>
      <c r="W85" s="261" t="s">
        <v>156</v>
      </c>
      <c r="X85" s="262" t="str">
        <f t="shared" si="129"/>
        <v>30%</v>
      </c>
      <c r="Y85" s="261" t="s">
        <v>157</v>
      </c>
      <c r="Z85" s="261" t="s">
        <v>158</v>
      </c>
      <c r="AA85" s="261" t="s">
        <v>159</v>
      </c>
      <c r="AB85" s="360">
        <f t="shared" ref="AB85" si="134">IFERROR(IF(U85="Probabilidad",(AB84-(+AB84*X85)),IF(U85="Impacto",AB84,"")),"")</f>
        <v>0.252</v>
      </c>
      <c r="AC85" s="269" t="str">
        <f t="shared" si="130"/>
        <v>Baja</v>
      </c>
      <c r="AD85" s="124">
        <f t="shared" si="131"/>
        <v>0.252</v>
      </c>
      <c r="AE85" s="269" t="str">
        <f t="shared" ca="1" si="132"/>
        <v>Mayor</v>
      </c>
      <c r="AF85" s="264">
        <f t="shared" ref="AF85" ca="1" si="135">IFERROR(IF(U85="Impacto",(Q84-(+Q84*X85)),IF(U85="Probabilidad",Q84,"")),"")</f>
        <v>0.8</v>
      </c>
      <c r="AG85" s="265" t="str">
        <f t="shared" ca="1" si="133"/>
        <v>Alto</v>
      </c>
      <c r="AH85" s="266" t="s">
        <v>160</v>
      </c>
      <c r="AI85" s="459"/>
      <c r="AJ85" s="187" t="s">
        <v>424</v>
      </c>
      <c r="AK85" s="188" t="s">
        <v>596</v>
      </c>
      <c r="AL85" s="189" t="s">
        <v>207</v>
      </c>
      <c r="AM85" s="278" t="s">
        <v>593</v>
      </c>
      <c r="AN85" s="361" t="s">
        <v>165</v>
      </c>
      <c r="AO85" s="439"/>
      <c r="AP85" s="440"/>
      <c r="AQ85" s="442"/>
      <c r="AR85" s="384" t="s">
        <v>208</v>
      </c>
      <c r="AS85" s="363"/>
      <c r="AT85" s="378" t="s">
        <v>208</v>
      </c>
      <c r="AU85" s="374" t="s">
        <v>208</v>
      </c>
      <c r="AV85" s="367"/>
      <c r="AW85" s="164"/>
      <c r="AX85" s="164"/>
    </row>
    <row r="86" spans="1:72" ht="151.5" customHeight="1" x14ac:dyDescent="0.3">
      <c r="A86" s="529" t="s">
        <v>23</v>
      </c>
      <c r="B86" s="526" t="s">
        <v>425</v>
      </c>
      <c r="C86" s="526" t="s">
        <v>426</v>
      </c>
      <c r="D86" s="622" t="s">
        <v>32</v>
      </c>
      <c r="E86" s="358">
        <v>1</v>
      </c>
      <c r="F86" s="359" t="s">
        <v>250</v>
      </c>
      <c r="G86" s="354" t="s">
        <v>427</v>
      </c>
      <c r="H86" s="355" t="s">
        <v>428</v>
      </c>
      <c r="I86" s="355" t="s">
        <v>429</v>
      </c>
      <c r="J86" s="355" t="s">
        <v>188</v>
      </c>
      <c r="K86" s="356">
        <v>350</v>
      </c>
      <c r="L86" s="357" t="str">
        <f>IF(K86&lt;=0,"",IF(K86&lt;=2,"Muy Baja",IF(K86&lt;=24,"Baja",IF(K86&lt;=500,"Media",IF(K86&lt;=5000,"Alta","Muy Alta")))))</f>
        <v>Media</v>
      </c>
      <c r="M86" s="353">
        <f>IF(L86="","",IF(L86="Muy Baja",0.2,IF(L86="Baja",0.4,IF(L86="Media",0.6,IF(L86="Alta",0.8,IF(L86="Muy Alta",1,))))))</f>
        <v>0.6</v>
      </c>
      <c r="N86" s="304" t="s">
        <v>416</v>
      </c>
      <c r="O86" s="317" t="str">
        <f ca="1">IF(NOT(ISERROR(MATCH(N86,_xlfn.ANCHORARRAY(#REF!),0))),#REF!&amp;"Por favor no seleccionar los criterios de impacto",N86)</f>
        <v xml:space="preserve">     Entre 10 y 50 SMLMV </v>
      </c>
      <c r="P86" s="287" t="str">
        <f ca="1">IF(OR(O86='[1]Tabla Impacto'!$C$11,O86='[1]Tabla Impacto'!$D$11),"Leve",IF(OR(O86='[1]Tabla Impacto'!$C$12,O86='[1]Tabla Impacto'!$D$12),"Menor",IF(OR(O86='[1]Tabla Impacto'!$C$13,O86='[1]Tabla Impacto'!$D$13),"Moderado",IF(OR(O86='[1]Tabla Impacto'!$C$14,O86='[1]Tabla Impacto'!$D$14),"Mayor",IF(OR(O86='[1]Tabla Impacto'!$C$15,O86='[1]Tabla Impacto'!$D$15),"Catastrófico","")))))</f>
        <v>Menor</v>
      </c>
      <c r="Q86" s="284">
        <f ca="1">IF(P86="","",IF(P86="Leve",0.2,IF(P86="Menor",0.4,IF(P86="Moderado",0.6,IF(P86="Mayor",0.8,IF(P86="Catastrófico",1,))))))</f>
        <v>0.4</v>
      </c>
      <c r="R86" s="289" t="str">
        <f ca="1">IF(OR(AND(L86="Muy Baja",P86="Leve"),AND(L86="Muy Baja",P86="Menor"),AND(L86="Baja",P86="Leve")),"Bajo",IF(OR(AND(L86="Muy baja",P86="Moderado"),AND(L86="Baja",P86="Menor"),AND(L86="Baja",P86="Moderado"),AND(L86="Media",P86="Leve"),AND(L86="Media",P86="Menor"),AND(L86="Media",P86="Moderado"),AND(L86="Alta",P86="Leve"),AND(L86="Alta",P86="Menor")),"Moderado",IF(OR(AND(L86="Muy Baja",P86="Mayor"),AND(L86="Baja",P86="Mayor"),AND(L86="Media",P86="Mayor"),AND(L86="Alta",P86="Moderado"),AND(L86="Alta",P86="Mayor"),AND(L86="Muy Alta",P86="Leve"),AND(L86="Muy Alta",P86="Menor"),AND(L86="Muy Alta",P86="Moderado"),AND(L86="Muy Alta",P86="Mayor")),"Alto",IF(OR(AND(L86="Muy Baja",P86="Catastrófico"),AND(L86="Baja",P86="Catastrófico"),AND(L86="Media",P86="Catastrófico"),AND(L86="Alta",P86="Catastrófico"),AND(L86="Muy Alta",P86="Catastrófico")),"Extremo",""))))</f>
        <v>Moderado</v>
      </c>
      <c r="S86" s="125">
        <v>1</v>
      </c>
      <c r="T86" s="259" t="s">
        <v>430</v>
      </c>
      <c r="U86" s="260" t="s">
        <v>154</v>
      </c>
      <c r="V86" s="261" t="s">
        <v>155</v>
      </c>
      <c r="W86" s="261" t="s">
        <v>156</v>
      </c>
      <c r="X86" s="262" t="str">
        <f t="shared" si="121"/>
        <v>40%</v>
      </c>
      <c r="Y86" s="261" t="s">
        <v>157</v>
      </c>
      <c r="Z86" s="261" t="s">
        <v>158</v>
      </c>
      <c r="AA86" s="261" t="s">
        <v>159</v>
      </c>
      <c r="AB86" s="263">
        <f>IFERROR(IF(U86="Probabilidad",(M86-(+M86*X86)),IF(U86="Impacto",M86,"")),"")</f>
        <v>0.36</v>
      </c>
      <c r="AC86" s="269" t="str">
        <f t="shared" si="98"/>
        <v>Baja</v>
      </c>
      <c r="AD86" s="264">
        <f t="shared" si="122"/>
        <v>0.36</v>
      </c>
      <c r="AE86" s="269" t="str">
        <f t="shared" ca="1" si="123"/>
        <v>Menor</v>
      </c>
      <c r="AF86" s="264">
        <f ca="1">IFERROR(IF(U86="Impacto",(Q86-(+Q86*X86)),IF(U86="Probabilidad",Q86,"")),"")</f>
        <v>0.4</v>
      </c>
      <c r="AG86" s="265" t="str">
        <f t="shared" ca="1" si="124"/>
        <v>Moderado</v>
      </c>
      <c r="AH86" s="266" t="s">
        <v>160</v>
      </c>
      <c r="AI86" s="275"/>
      <c r="AJ86" s="187" t="s">
        <v>32</v>
      </c>
      <c r="AK86" s="188" t="s">
        <v>220</v>
      </c>
      <c r="AL86" s="188" t="s">
        <v>220</v>
      </c>
      <c r="AM86" s="188" t="s">
        <v>220</v>
      </c>
      <c r="AN86" s="277" t="s">
        <v>165</v>
      </c>
      <c r="AO86" s="292"/>
      <c r="AP86" s="292"/>
      <c r="AQ86" s="292"/>
      <c r="AR86" s="292"/>
      <c r="AS86" s="364"/>
      <c r="AT86" s="379" t="s">
        <v>208</v>
      </c>
      <c r="AU86" s="362" t="s">
        <v>208</v>
      </c>
      <c r="AV86" s="368"/>
      <c r="AW86" s="7"/>
      <c r="AX86" s="7"/>
      <c r="AY86" s="7"/>
      <c r="AZ86" s="7"/>
      <c r="BA86" s="7"/>
      <c r="BB86" s="7"/>
      <c r="BC86" s="7"/>
      <c r="BD86" s="7"/>
      <c r="BE86" s="7"/>
      <c r="BF86" s="7"/>
      <c r="BG86" s="7"/>
      <c r="BH86" s="7"/>
      <c r="BI86" s="7"/>
      <c r="BJ86" s="7"/>
      <c r="BK86" s="7"/>
      <c r="BL86" s="7"/>
      <c r="BM86" s="7"/>
      <c r="BN86" s="7"/>
      <c r="BO86" s="7"/>
      <c r="BP86" s="7"/>
      <c r="BQ86" s="7"/>
      <c r="BR86" s="7"/>
      <c r="BS86" s="7"/>
      <c r="BT86" s="7"/>
    </row>
    <row r="87" spans="1:72" ht="79.5" customHeight="1" x14ac:dyDescent="0.3">
      <c r="A87" s="493"/>
      <c r="B87" s="496"/>
      <c r="C87" s="496"/>
      <c r="D87" s="493"/>
      <c r="E87" s="491">
        <v>2</v>
      </c>
      <c r="F87" s="426" t="s">
        <v>250</v>
      </c>
      <c r="G87" s="426" t="s">
        <v>427</v>
      </c>
      <c r="H87" s="426" t="s">
        <v>431</v>
      </c>
      <c r="I87" s="426" t="s">
        <v>432</v>
      </c>
      <c r="J87" s="426" t="s">
        <v>188</v>
      </c>
      <c r="K87" s="424">
        <v>365</v>
      </c>
      <c r="L87" s="483" t="str">
        <f t="shared" ref="L87" si="136">IF(K87&lt;=0,"",IF(K87&lt;=2,"Muy Baja",IF(K87&lt;=24,"Baja",IF(K87&lt;=500,"Media",IF(K87&lt;=5000,"Alta","Muy Alta")))))</f>
        <v>Media</v>
      </c>
      <c r="M87" s="430">
        <f>IF(L87="","",IF(L87="Muy Baja",0.2,IF(L87="Baja",0.4,IF(L87="Media",0.6,IF(L87="Alta",0.8,IF(L87="Muy Alta",1,))))))</f>
        <v>0.6</v>
      </c>
      <c r="N87" s="473" t="s">
        <v>416</v>
      </c>
      <c r="O87" s="317" t="str">
        <f ca="1">IF(NOT(ISERROR(MATCH(N87,_xlfn.ANCHORARRAY(#REF!),0))),#REF!&amp;"Por favor no seleccionar los criterios de impacto",N87)</f>
        <v xml:space="preserve">     Entre 10 y 50 SMLMV </v>
      </c>
      <c r="P87" s="428" t="str">
        <f ca="1">IF(OR(O87='[1]Tabla Impacto'!$C$11,O87='[1]Tabla Impacto'!$D$11),"Leve",IF(OR(O87='[1]Tabla Impacto'!$C$12,O87='[1]Tabla Impacto'!$D$12),"Menor",IF(OR(O87='[1]Tabla Impacto'!$C$13,O87='[1]Tabla Impacto'!$D$13),"Moderado",IF(OR(O87='[1]Tabla Impacto'!$C$14,O87='[1]Tabla Impacto'!$D$14),"Mayor",IF(OR(O87='[1]Tabla Impacto'!$C$15,O87='[1]Tabla Impacto'!$D$15),"Catastrófico","")))))</f>
        <v>Menor</v>
      </c>
      <c r="Q87" s="430">
        <f ca="1">IF(P87="","",IF(P87="Leve",0.2,IF(P87="Menor",0.4,IF(P87="Moderado",0.6,IF(P87="Mayor",0.8,IF(P87="Catastrófico",1,))))))</f>
        <v>0.4</v>
      </c>
      <c r="R87" s="484" t="str">
        <f ca="1">IF(OR(AND(L87="Muy Baja",P87="Leve"),AND(L87="Muy Baja",P87="Menor"),AND(L87="Baja",P87="Leve")),"Bajo",IF(OR(AND(L87="Muy baja",P87="Moderado"),AND(L87="Baja",P87="Menor"),AND(L87="Baja",P87="Moderado"),AND(L87="Media",P87="Leve"),AND(L87="Media",P87="Menor"),AND(L87="Media",P87="Moderado"),AND(L87="Alta",P87="Leve"),AND(L87="Alta",P87="Menor")),"Moderado",IF(OR(AND(L87="Muy Baja",P87="Mayor"),AND(L87="Baja",P87="Mayor"),AND(L87="Media",P87="Mayor"),AND(L87="Alta",P87="Moderado"),AND(L87="Alta",P87="Mayor"),AND(L87="Muy Alta",P87="Leve"),AND(L87="Muy Alta",P87="Menor"),AND(L87="Muy Alta",P87="Moderado"),AND(L87="Muy Alta",P87="Mayor")),"Alto",IF(OR(AND(L87="Muy Baja",P87="Catastrófico"),AND(L87="Baja",P87="Catastrófico"),AND(L87="Media",P87="Catastrófico"),AND(L87="Alta",P87="Catastrófico"),AND(L87="Muy Alta",P87="Catastrófico")),"Extremo",""))))</f>
        <v>Moderado</v>
      </c>
      <c r="S87" s="125">
        <v>1</v>
      </c>
      <c r="T87" s="259" t="s">
        <v>433</v>
      </c>
      <c r="U87" s="260" t="s">
        <v>154</v>
      </c>
      <c r="V87" s="261" t="s">
        <v>169</v>
      </c>
      <c r="W87" s="261" t="s">
        <v>156</v>
      </c>
      <c r="X87" s="262" t="str">
        <f t="shared" si="121"/>
        <v>30%</v>
      </c>
      <c r="Y87" s="261" t="s">
        <v>157</v>
      </c>
      <c r="Z87" s="261" t="s">
        <v>158</v>
      </c>
      <c r="AA87" s="261" t="s">
        <v>159</v>
      </c>
      <c r="AB87" s="263">
        <f t="shared" ref="AB87" si="137">IFERROR(IF(U87="Probabilidad",(M87-(+M87*X87)),IF(U87="Impacto",M87,"")),"")</f>
        <v>0.42</v>
      </c>
      <c r="AC87" s="269" t="str">
        <f t="shared" si="98"/>
        <v>Media</v>
      </c>
      <c r="AD87" s="264">
        <f t="shared" si="122"/>
        <v>0.42</v>
      </c>
      <c r="AE87" s="269" t="str">
        <f t="shared" ca="1" si="123"/>
        <v>Menor</v>
      </c>
      <c r="AF87" s="264">
        <f t="shared" ref="AF87" ca="1" si="138">IFERROR(IF(U87="Impacto",(Q87-(+Q87*X87)),IF(U87="Probabilidad",Q87,"")),"")</f>
        <v>0.4</v>
      </c>
      <c r="AG87" s="265" t="str">
        <f t="shared" ca="1" si="124"/>
        <v>Moderado</v>
      </c>
      <c r="AH87" s="266" t="s">
        <v>160</v>
      </c>
      <c r="AI87" s="466"/>
      <c r="AJ87" s="187" t="s">
        <v>32</v>
      </c>
      <c r="AK87" s="268" t="s">
        <v>392</v>
      </c>
      <c r="AL87" s="268" t="s">
        <v>434</v>
      </c>
      <c r="AM87" s="268" t="s">
        <v>434</v>
      </c>
      <c r="AN87" s="277" t="s">
        <v>165</v>
      </c>
      <c r="AO87" s="468"/>
      <c r="AP87" s="468"/>
      <c r="AQ87" s="468"/>
      <c r="AR87" s="277" t="s">
        <v>208</v>
      </c>
      <c r="AS87" s="361"/>
      <c r="AT87" s="379" t="s">
        <v>208</v>
      </c>
      <c r="AU87" s="362" t="s">
        <v>208</v>
      </c>
      <c r="AV87" s="368"/>
      <c r="AW87" s="7"/>
      <c r="AX87" s="7"/>
      <c r="AY87" s="7"/>
      <c r="AZ87" s="7"/>
      <c r="BA87" s="7"/>
      <c r="BB87" s="7"/>
      <c r="BC87" s="7"/>
      <c r="BD87" s="7"/>
      <c r="BE87" s="7"/>
      <c r="BF87" s="7"/>
      <c r="BG87" s="7"/>
      <c r="BH87" s="7"/>
      <c r="BI87" s="7"/>
      <c r="BJ87" s="7"/>
      <c r="BK87" s="7"/>
      <c r="BL87" s="7"/>
      <c r="BM87" s="7"/>
      <c r="BN87" s="7"/>
      <c r="BO87" s="7"/>
      <c r="BP87" s="7"/>
      <c r="BQ87" s="7"/>
      <c r="BR87" s="7"/>
      <c r="BS87" s="7"/>
      <c r="BT87" s="7"/>
    </row>
    <row r="88" spans="1:72" ht="98.25" customHeight="1" x14ac:dyDescent="0.3">
      <c r="A88" s="494"/>
      <c r="B88" s="497"/>
      <c r="C88" s="497"/>
      <c r="D88" s="494"/>
      <c r="E88" s="669"/>
      <c r="F88" s="467"/>
      <c r="G88" s="467"/>
      <c r="H88" s="467"/>
      <c r="I88" s="467"/>
      <c r="J88" s="467"/>
      <c r="K88" s="469"/>
      <c r="L88" s="517"/>
      <c r="M88" s="472"/>
      <c r="N88" s="474"/>
      <c r="O88" s="318">
        <f ca="1">IF(NOT(ISERROR(MATCH(N88,_xlfn.ANCHORARRAY(#REF!),0))),#REF!&amp;"Por favor no seleccionar los criterios de impacto",N88)</f>
        <v>0</v>
      </c>
      <c r="P88" s="517"/>
      <c r="Q88" s="472"/>
      <c r="R88" s="485"/>
      <c r="S88" s="240">
        <v>2</v>
      </c>
      <c r="T88" s="241" t="s">
        <v>435</v>
      </c>
      <c r="U88" s="230" t="s">
        <v>154</v>
      </c>
      <c r="V88" s="231" t="s">
        <v>155</v>
      </c>
      <c r="W88" s="231" t="s">
        <v>156</v>
      </c>
      <c r="X88" s="232" t="str">
        <f t="shared" si="121"/>
        <v>40%</v>
      </c>
      <c r="Y88" s="231" t="s">
        <v>157</v>
      </c>
      <c r="Z88" s="231" t="s">
        <v>158</v>
      </c>
      <c r="AA88" s="231" t="s">
        <v>159</v>
      </c>
      <c r="AB88" s="233">
        <f>IFERROR(IF(U88="Probabilidad",(AB87-(+AB87*X88)),IF(U88="Impacto",AB87,"")),"")</f>
        <v>0.252</v>
      </c>
      <c r="AC88" s="234" t="str">
        <f t="shared" si="98"/>
        <v>Baja</v>
      </c>
      <c r="AD88" s="232">
        <f t="shared" si="122"/>
        <v>0.252</v>
      </c>
      <c r="AE88" s="234" t="str">
        <f t="shared" ca="1" si="123"/>
        <v>Menor</v>
      </c>
      <c r="AF88" s="232">
        <f ca="1">IFERROR(IF(U88="Impacto",(Q87-(+Q87*X88)),IF(U88="Probabilidad",Q87,"")),"")</f>
        <v>0.4</v>
      </c>
      <c r="AG88" s="235" t="str">
        <f t="shared" ca="1" si="124"/>
        <v>Moderado</v>
      </c>
      <c r="AH88" s="231" t="s">
        <v>160</v>
      </c>
      <c r="AI88" s="467"/>
      <c r="AJ88" s="242" t="s">
        <v>32</v>
      </c>
      <c r="AK88" s="243" t="s">
        <v>220</v>
      </c>
      <c r="AL88" s="243" t="s">
        <v>436</v>
      </c>
      <c r="AM88" s="243" t="s">
        <v>436</v>
      </c>
      <c r="AN88" s="274" t="s">
        <v>165</v>
      </c>
      <c r="AO88" s="469"/>
      <c r="AP88" s="469"/>
      <c r="AQ88" s="469"/>
      <c r="AR88" s="274" t="s">
        <v>208</v>
      </c>
      <c r="AS88" s="365"/>
      <c r="AT88" s="380" t="s">
        <v>208</v>
      </c>
      <c r="AU88" s="375" t="s">
        <v>208</v>
      </c>
      <c r="AV88" s="369"/>
      <c r="AW88" s="7"/>
      <c r="AX88" s="7"/>
      <c r="AY88" s="7"/>
      <c r="AZ88" s="7"/>
      <c r="BA88" s="7"/>
      <c r="BB88" s="7"/>
      <c r="BC88" s="7"/>
      <c r="BD88" s="7"/>
      <c r="BE88" s="7"/>
      <c r="BF88" s="7"/>
      <c r="BG88" s="7"/>
      <c r="BH88" s="7"/>
      <c r="BI88" s="7"/>
      <c r="BJ88" s="7"/>
      <c r="BK88" s="7"/>
      <c r="BL88" s="7"/>
      <c r="BM88" s="7"/>
      <c r="BN88" s="7"/>
      <c r="BO88" s="7"/>
      <c r="BP88" s="7"/>
      <c r="BQ88" s="7"/>
      <c r="BR88" s="7"/>
      <c r="BS88" s="7"/>
      <c r="BT88" s="7"/>
    </row>
    <row r="89" spans="1:72" s="165" customFormat="1" ht="151.5" customHeight="1" x14ac:dyDescent="0.3">
      <c r="A89" s="660" t="s">
        <v>21</v>
      </c>
      <c r="B89" s="662" t="s">
        <v>557</v>
      </c>
      <c r="C89" s="662" t="s">
        <v>558</v>
      </c>
      <c r="D89" s="665" t="s">
        <v>32</v>
      </c>
      <c r="E89" s="626">
        <v>1</v>
      </c>
      <c r="F89" s="476" t="s">
        <v>147</v>
      </c>
      <c r="G89" s="476" t="s">
        <v>437</v>
      </c>
      <c r="H89" s="476" t="s">
        <v>438</v>
      </c>
      <c r="I89" s="476" t="s">
        <v>439</v>
      </c>
      <c r="J89" s="476" t="s">
        <v>440</v>
      </c>
      <c r="K89" s="686">
        <v>1</v>
      </c>
      <c r="L89" s="672" t="str">
        <f>IF(K89&lt;=0,"",IF(K89&lt;=2,"Muy Baja",IF(K89&lt;=24,"Baja",IF(K89&lt;=500,"Media",IF(K89&lt;=5000,"Alta","Muy Alta")))))</f>
        <v>Muy Baja</v>
      </c>
      <c r="M89" s="674">
        <f>IF(L89="","",IF(L89="Muy Baja",0.2,IF(L89="Baja",0.4,IF(L89="Media",0.6,IF(L89="Alta",0.8,IF(L89="Muy Alta",1,))))))</f>
        <v>0.2</v>
      </c>
      <c r="N89" s="670" t="s">
        <v>227</v>
      </c>
      <c r="O89" s="305" t="str">
        <f ca="1">IF(NOT(ISERROR(MATCH(N89,'Tabla Impacto'!$B$221:$B$223,0))),'Tabla Impacto'!$F$223&amp;"Por favor no seleccionar los criterios de impacto(Afectación Económica o presupuestal y Pérdida Reputacional)",N89)</f>
        <v xml:space="preserve">     Entre 50 y 100 SMLMV </v>
      </c>
      <c r="P89" s="672" t="str">
        <f ca="1">IF(OR(O89='Tabla Impacto'!$C$11,O89='Tabla Impacto'!$D$11),"Leve",IF(OR(O89='Tabla Impacto'!$C$12,O89='Tabla Impacto'!$D$12),"Menor",IF(OR(O89='Tabla Impacto'!$C$13,O89='Tabla Impacto'!$D$13),"Moderado",IF(OR(O89='Tabla Impacto'!$C$14,O89='Tabla Impacto'!$D$14),"Mayor",IF(OR(O89='Tabla Impacto'!$C$15,O89='Tabla Impacto'!$D$15),"Catastrófico","")))))</f>
        <v>Moderado</v>
      </c>
      <c r="Q89" s="674">
        <f ca="1">IF(P89="","",IF(P89="Leve",0.2,IF(P89="Menor",0.4,IF(P89="Moderado",0.6,IF(P89="Mayor",0.8,IF(P89="Catastrófico",1,))))))</f>
        <v>0.6</v>
      </c>
      <c r="R89" s="675" t="str">
        <f ca="1">IF(OR(AND(L89="Muy Baja",P89="Leve"),AND(L89="Muy Baja",P89="Menor"),AND(L89="Baja",P89="Leve")),"Bajo",IF(OR(AND(L89="Muy baja",P89="Moderado"),AND(L89="Baja",P89="Menor"),AND(L89="Baja",P89="Moderado"),AND(L89="Media",P89="Leve"),AND(L89="Media",P89="Menor"),AND(L89="Media",P89="Moderado"),AND(L89="Alta",P89="Leve"),AND(L89="Alta",P89="Menor")),"Moderado",IF(OR(AND(L89="Muy Baja",P89="Mayor"),AND(L89="Baja",P89="Mayor"),AND(L89="Media",P89="Mayor"),AND(L89="Alta",P89="Moderado"),AND(L89="Alta",P89="Mayor"),AND(L89="Muy Alta",P89="Leve"),AND(L89="Muy Alta",P89="Menor"),AND(L89="Muy Alta",P89="Moderado"),AND(L89="Muy Alta",P89="Mayor")),"Alto",IF(OR(AND(L89="Muy Baja",P89="Catastrófico"),AND(L89="Baja",P89="Catastrófico"),AND(L89="Media",P89="Catastrófico"),AND(L89="Alta",P89="Catastrófico"),AND(L89="Muy Alta",P89="Catastrófico")),"Extremo",""))))</f>
        <v>Moderado</v>
      </c>
      <c r="S89" s="244">
        <v>1</v>
      </c>
      <c r="T89" s="245" t="s">
        <v>559</v>
      </c>
      <c r="U89" s="209" t="s">
        <v>154</v>
      </c>
      <c r="V89" s="210" t="s">
        <v>155</v>
      </c>
      <c r="W89" s="210" t="s">
        <v>156</v>
      </c>
      <c r="X89" s="211" t="s">
        <v>393</v>
      </c>
      <c r="Y89" s="210" t="s">
        <v>157</v>
      </c>
      <c r="Z89" s="210" t="s">
        <v>158</v>
      </c>
      <c r="AA89" s="210" t="s">
        <v>159</v>
      </c>
      <c r="AB89" s="212">
        <f>IFERROR(IF(U89="Probabilidad",(M89-(+M89*X89)),IF(U89="Impacto",M89,"")),"")</f>
        <v>0.12</v>
      </c>
      <c r="AC89" s="213" t="str">
        <f t="shared" si="98"/>
        <v>Muy Baja</v>
      </c>
      <c r="AD89" s="214">
        <f t="shared" si="122"/>
        <v>0.12</v>
      </c>
      <c r="AE89" s="213" t="str">
        <f t="shared" ca="1" si="123"/>
        <v>Moderado</v>
      </c>
      <c r="AF89" s="214">
        <f ca="1">IFERROR(IF(U89="Impacto",(Q89-(+Q89*X89)),IF(U89="Probabilidad",Q89,"")),"")</f>
        <v>0.6</v>
      </c>
      <c r="AG89" s="215" t="str">
        <f t="shared" ca="1" si="124"/>
        <v>Moderado</v>
      </c>
      <c r="AH89" s="246" t="s">
        <v>160</v>
      </c>
      <c r="AI89" s="476"/>
      <c r="AJ89" s="247" t="s">
        <v>32</v>
      </c>
      <c r="AK89" s="248" t="s">
        <v>379</v>
      </c>
      <c r="AL89" s="249" t="s">
        <v>207</v>
      </c>
      <c r="AM89" s="249" t="s">
        <v>207</v>
      </c>
      <c r="AN89" s="279" t="s">
        <v>165</v>
      </c>
      <c r="AO89" s="250"/>
      <c r="AP89" s="250"/>
      <c r="AQ89" s="250"/>
      <c r="AR89" s="279" t="s">
        <v>166</v>
      </c>
      <c r="AS89" s="366"/>
      <c r="AT89" s="381"/>
      <c r="AU89" s="376" t="s">
        <v>166</v>
      </c>
      <c r="AV89" s="370"/>
      <c r="AW89" s="164"/>
      <c r="AX89" s="164"/>
      <c r="AY89" s="164"/>
      <c r="AZ89" s="164"/>
      <c r="BA89" s="164"/>
      <c r="BB89" s="164"/>
      <c r="BC89" s="164"/>
      <c r="BD89" s="164"/>
      <c r="BE89" s="164"/>
      <c r="BF89" s="164"/>
      <c r="BG89" s="164"/>
      <c r="BH89" s="164"/>
      <c r="BI89" s="164"/>
      <c r="BJ89" s="164"/>
      <c r="BK89" s="164"/>
      <c r="BL89" s="164"/>
      <c r="BM89" s="164"/>
      <c r="BN89" s="164"/>
      <c r="BO89" s="164"/>
      <c r="BP89" s="164"/>
      <c r="BQ89" s="164"/>
      <c r="BR89" s="164"/>
      <c r="BS89" s="164"/>
      <c r="BT89" s="164"/>
    </row>
    <row r="90" spans="1:72" s="165" customFormat="1" ht="151.5" customHeight="1" x14ac:dyDescent="0.3">
      <c r="A90" s="531"/>
      <c r="B90" s="527"/>
      <c r="C90" s="527"/>
      <c r="D90" s="520"/>
      <c r="E90" s="491"/>
      <c r="F90" s="426"/>
      <c r="G90" s="426"/>
      <c r="H90" s="426"/>
      <c r="I90" s="426"/>
      <c r="J90" s="426"/>
      <c r="K90" s="677"/>
      <c r="L90" s="673"/>
      <c r="M90" s="514"/>
      <c r="N90" s="671"/>
      <c r="O90" s="293"/>
      <c r="P90" s="673"/>
      <c r="Q90" s="514"/>
      <c r="R90" s="676"/>
      <c r="S90" s="125">
        <v>2</v>
      </c>
      <c r="T90" s="259" t="s">
        <v>560</v>
      </c>
      <c r="U90" s="260" t="s">
        <v>154</v>
      </c>
      <c r="V90" s="261" t="s">
        <v>169</v>
      </c>
      <c r="W90" s="261" t="s">
        <v>156</v>
      </c>
      <c r="X90" s="262">
        <v>0.3</v>
      </c>
      <c r="Y90" s="261" t="s">
        <v>157</v>
      </c>
      <c r="Z90" s="261" t="s">
        <v>158</v>
      </c>
      <c r="AA90" s="261" t="s">
        <v>159</v>
      </c>
      <c r="AB90" s="263">
        <f>IFERROR(IF(U90="Probabilidad",(AB89-(+AB89*X90)),IF(U90="Impacto",AB89,"")),"")</f>
        <v>8.3999999999999991E-2</v>
      </c>
      <c r="AC90" s="269" t="str">
        <f t="shared" ref="AC90:AC92" si="139">IFERROR(IF(AB90="","",IF(AB90&lt;=0.2,"Muy Baja",IF(AB90&lt;=0.4,"Baja",IF(AB90&lt;=0.6,"Media",IF(AB90&lt;=0.8,"Alta","Muy Alta"))))),"")</f>
        <v>Muy Baja</v>
      </c>
      <c r="AD90" s="264">
        <f t="shared" ref="AD90:AD92" si="140">+AB90</f>
        <v>8.3999999999999991E-2</v>
      </c>
      <c r="AE90" s="269" t="str">
        <f t="shared" ref="AE90:AE92" ca="1" si="141">IFERROR(IF(AF90="","",IF(AF90&lt;=0.2,"Leve",IF(AF90&lt;=0.4,"Menor",IF(AF90&lt;=0.6,"Moderado",IF(AF90&lt;=0.8,"Mayor","Catastrófico"))))),"")</f>
        <v>Moderado</v>
      </c>
      <c r="AF90" s="264">
        <f ca="1">IFERROR(IF(U90="Impacto",(Q89-(+Q89*X90)),IF(U90="Probabilidad",Q89,"")),"")</f>
        <v>0.6</v>
      </c>
      <c r="AG90" s="265" t="str">
        <f t="shared" ref="AG90:AG92" ca="1" si="142">IFERROR(IF(OR(AND(AC90="Muy Baja",AE90="Leve"),AND(AC90="Muy Baja",AE90="Menor"),AND(AC90="Baja",AE90="Leve")),"Bajo",IF(OR(AND(AC90="Muy baja",AE90="Moderado"),AND(AC90="Baja",AE90="Menor"),AND(AC90="Baja",AE90="Moderado"),AND(AC90="Media",AE90="Leve"),AND(AC90="Media",AE90="Menor"),AND(AC90="Media",AE90="Moderado"),AND(AC90="Alta",AE90="Leve"),AND(AC90="Alta",AE90="Menor")),"Moderado",IF(OR(AND(AC90="Muy Baja",AE90="Mayor"),AND(AC90="Baja",AE90="Mayor"),AND(AC90="Media",AE90="Mayor"),AND(AC90="Alta",AE90="Moderado"),AND(AC90="Alta",AE90="Mayor"),AND(AC90="Muy Alta",AE90="Leve"),AND(AC90="Muy Alta",AE90="Menor"),AND(AC90="Muy Alta",AE90="Moderado"),AND(AC90="Muy Alta",AE90="Mayor")),"Alto",IF(OR(AND(AC90="Muy Baja",AE90="Catastrófico"),AND(AC90="Baja",AE90="Catastrófico"),AND(AC90="Media",AE90="Catastrófico"),AND(AC90="Alta",AE90="Catastrófico"),AND(AC90="Muy Alta",AE90="Catastrófico")),"Extremo","")))),"")</f>
        <v>Moderado</v>
      </c>
      <c r="AH90" s="266" t="s">
        <v>160</v>
      </c>
      <c r="AI90" s="426"/>
      <c r="AJ90" s="187" t="s">
        <v>32</v>
      </c>
      <c r="AK90" s="188" t="s">
        <v>379</v>
      </c>
      <c r="AL90" s="189" t="s">
        <v>207</v>
      </c>
      <c r="AM90" s="189" t="s">
        <v>207</v>
      </c>
      <c r="AN90" s="277" t="s">
        <v>165</v>
      </c>
      <c r="AO90" s="163"/>
      <c r="AP90" s="163"/>
      <c r="AQ90" s="163"/>
      <c r="AR90" s="277" t="s">
        <v>166</v>
      </c>
      <c r="AS90" s="361"/>
      <c r="AT90" s="379"/>
      <c r="AU90" s="362" t="s">
        <v>166</v>
      </c>
      <c r="AV90" s="368"/>
      <c r="AW90" s="164"/>
      <c r="AX90" s="164"/>
      <c r="AY90" s="164"/>
      <c r="AZ90" s="164"/>
      <c r="BA90" s="164"/>
      <c r="BB90" s="164"/>
      <c r="BC90" s="164"/>
      <c r="BD90" s="164"/>
      <c r="BE90" s="164"/>
      <c r="BF90" s="164"/>
      <c r="BG90" s="164"/>
      <c r="BH90" s="164"/>
      <c r="BI90" s="164"/>
      <c r="BJ90" s="164"/>
      <c r="BK90" s="164"/>
      <c r="BL90" s="164"/>
      <c r="BM90" s="164"/>
      <c r="BN90" s="164"/>
      <c r="BO90" s="164"/>
      <c r="BP90" s="164"/>
      <c r="BQ90" s="164"/>
      <c r="BR90" s="164"/>
      <c r="BS90" s="164"/>
      <c r="BT90" s="164"/>
    </row>
    <row r="91" spans="1:72" s="165" customFormat="1" ht="151.5" customHeight="1" x14ac:dyDescent="0.3">
      <c r="A91" s="531"/>
      <c r="B91" s="533"/>
      <c r="C91" s="521"/>
      <c r="D91" s="521"/>
      <c r="E91" s="522"/>
      <c r="F91" s="427"/>
      <c r="G91" s="427"/>
      <c r="H91" s="427"/>
      <c r="I91" s="427"/>
      <c r="J91" s="427"/>
      <c r="K91" s="677"/>
      <c r="L91" s="673"/>
      <c r="M91" s="514"/>
      <c r="N91" s="671"/>
      <c r="O91" s="293">
        <f ca="1">IF(NOT(ISERROR(MATCH(N91,_xlfn.ANCHORARRAY(#REF!),0))),#REF!&amp;"Por favor no seleccionar los criterios de impacto",N91)</f>
        <v>0</v>
      </c>
      <c r="P91" s="673"/>
      <c r="Q91" s="514"/>
      <c r="R91" s="676"/>
      <c r="S91" s="125">
        <v>3</v>
      </c>
      <c r="T91" s="259" t="s">
        <v>441</v>
      </c>
      <c r="U91" s="260" t="s">
        <v>49</v>
      </c>
      <c r="V91" s="261" t="s">
        <v>211</v>
      </c>
      <c r="W91" s="261" t="s">
        <v>156</v>
      </c>
      <c r="X91" s="262" t="s">
        <v>442</v>
      </c>
      <c r="Y91" s="261" t="s">
        <v>157</v>
      </c>
      <c r="Z91" s="261" t="s">
        <v>158</v>
      </c>
      <c r="AA91" s="261" t="s">
        <v>159</v>
      </c>
      <c r="AB91" s="263">
        <f>IFERROR(IF(U91="Probabilidad",(AB90-(+AB90*X91)),IF(U91="Impacto",AB90,"")),"")</f>
        <v>8.3999999999999991E-2</v>
      </c>
      <c r="AC91" s="269" t="str">
        <f t="shared" si="139"/>
        <v>Muy Baja</v>
      </c>
      <c r="AD91" s="264">
        <f t="shared" si="140"/>
        <v>8.3999999999999991E-2</v>
      </c>
      <c r="AE91" s="269" t="str">
        <f t="shared" ca="1" si="141"/>
        <v>Moderado</v>
      </c>
      <c r="AF91" s="264">
        <f ca="1">IFERROR(IF(U91="Impacto",(Q89-(+Q89*X91)),IF(U91="Probabilidad",Q89,"")),"")</f>
        <v>0.44999999999999996</v>
      </c>
      <c r="AG91" s="265" t="str">
        <f t="shared" ca="1" si="142"/>
        <v>Moderado</v>
      </c>
      <c r="AH91" s="266" t="s">
        <v>160</v>
      </c>
      <c r="AI91" s="427"/>
      <c r="AJ91" s="187" t="s">
        <v>32</v>
      </c>
      <c r="AK91" s="188">
        <v>44287</v>
      </c>
      <c r="AL91" s="189" t="s">
        <v>392</v>
      </c>
      <c r="AM91" s="189" t="s">
        <v>392</v>
      </c>
      <c r="AN91" s="277" t="s">
        <v>443</v>
      </c>
      <c r="AO91" s="163"/>
      <c r="AP91" s="163"/>
      <c r="AQ91" s="163"/>
      <c r="AR91" s="277" t="s">
        <v>166</v>
      </c>
      <c r="AS91" s="361"/>
      <c r="AT91" s="379" t="s">
        <v>166</v>
      </c>
      <c r="AU91" s="362" t="s">
        <v>166</v>
      </c>
      <c r="AV91" s="368"/>
      <c r="AW91" s="164"/>
      <c r="AX91" s="164"/>
      <c r="AY91" s="164"/>
      <c r="AZ91" s="164"/>
      <c r="BA91" s="164"/>
      <c r="BB91" s="164"/>
      <c r="BC91" s="164"/>
      <c r="BD91" s="164"/>
      <c r="BE91" s="164"/>
      <c r="BF91" s="164"/>
      <c r="BG91" s="164"/>
      <c r="BH91" s="164"/>
      <c r="BI91" s="164"/>
      <c r="BJ91" s="164"/>
      <c r="BK91" s="164"/>
      <c r="BL91" s="164"/>
      <c r="BM91" s="164"/>
      <c r="BN91" s="164"/>
      <c r="BO91" s="164"/>
      <c r="BP91" s="164"/>
      <c r="BQ91" s="164"/>
      <c r="BR91" s="164"/>
      <c r="BS91" s="164"/>
      <c r="BT91" s="164"/>
    </row>
    <row r="92" spans="1:72" s="165" customFormat="1" ht="151.5" customHeight="1" x14ac:dyDescent="0.3">
      <c r="A92" s="531"/>
      <c r="B92" s="533"/>
      <c r="C92" s="521"/>
      <c r="D92" s="521"/>
      <c r="E92" s="666">
        <v>2</v>
      </c>
      <c r="F92" s="466" t="s">
        <v>172</v>
      </c>
      <c r="G92" s="466" t="s">
        <v>444</v>
      </c>
      <c r="H92" s="466" t="s">
        <v>561</v>
      </c>
      <c r="I92" s="466" t="s">
        <v>562</v>
      </c>
      <c r="J92" s="426" t="s">
        <v>151</v>
      </c>
      <c r="K92" s="677">
        <v>365</v>
      </c>
      <c r="L92" s="679" t="str">
        <f>IF(K92&lt;=0,"",IF(K92&lt;=2,"Muy Baja",IF(K92&lt;=24,"Baja",IF(K92&lt;=500,"Media",IF(K92&lt;=5000,"Alta","Muy Alta")))))</f>
        <v>Media</v>
      </c>
      <c r="M92" s="513">
        <f>IF(L92="","",IF(L92="Muy Baja",0.2,IF(L92="Baja",0.4,IF(L92="Media",0.6,IF(L92="Alta",0.8,IF(L92="Muy Alta",1,))))))</f>
        <v>0.6</v>
      </c>
      <c r="N92" s="682" t="s">
        <v>152</v>
      </c>
      <c r="O92" s="166" t="str">
        <f ca="1">IF(NOT(ISERROR(MATCH(N92,_xlfn.ANCHORARRAY(#REF!),0))),#REF!&amp;"Por favor no seleccionar los criterios de impacto",N92)</f>
        <v xml:space="preserve">     El riesgo afecta la imagen de la entidad con algunos usuarios de relevancia frente al logro de los objetivos</v>
      </c>
      <c r="P92" s="679" t="str">
        <f ca="1">IF(OR(O92='Tabla Impacto'!$C$11,O92='Tabla Impacto'!$D$11),"Leve",IF(OR(O92='Tabla Impacto'!$C$12,O92='Tabla Impacto'!$D$12),"Menor",IF(OR(O92='Tabla Impacto'!$C$13,O92='Tabla Impacto'!$D$13),"Moderado",IF(OR(O92='Tabla Impacto'!$C$14,O92='Tabla Impacto'!$D$14),"Mayor",IF(OR(O92='Tabla Impacto'!$C$15,O92='Tabla Impacto'!$D$15),"Catastrófico","")))))</f>
        <v>Moderado</v>
      </c>
      <c r="Q92" s="513">
        <f ca="1">IF(P92="","",IF(P92="Leve",0.2,IF(P92="Menor",0.4,IF(P92="Moderado",0.6,IF(P92="Mayor",0.8,IF(P92="Catastrófico",1,))))))</f>
        <v>0.6</v>
      </c>
      <c r="R92" s="684" t="str">
        <f ca="1">IF(OR(AND(L92="Muy Baja",P92="Leve"),AND(L92="Muy Baja",P92="Menor"),AND(L92="Baja",P92="Leve")),"Bajo",IF(OR(AND(L92="Muy baja",P92="Moderado"),AND(L92="Baja",P92="Menor"),AND(L92="Baja",P92="Moderado"),AND(L92="Media",P92="Leve"),AND(L92="Media",P92="Menor"),AND(L92="Media",P92="Moderado"),AND(L92="Alta",P92="Leve"),AND(L92="Alta",P92="Menor")),"Moderado",IF(OR(AND(L92="Muy Baja",P92="Mayor"),AND(L92="Baja",P92="Mayor"),AND(L92="Media",P92="Mayor"),AND(L92="Alta",P92="Moderado"),AND(L92="Alta",P92="Mayor"),AND(L92="Muy Alta",P92="Leve"),AND(L92="Muy Alta",P92="Menor"),AND(L92="Muy Alta",P92="Moderado"),AND(L92="Muy Alta",P92="Mayor")),"Alto",IF(OR(AND(L92="Muy Baja",P92="Catastrófico"),AND(L92="Baja",P92="Catastrófico"),AND(L92="Media",P92="Catastrófico"),AND(L92="Alta",P92="Catastrófico"),AND(L92="Muy Alta",P92="Catastrófico")),"Extremo",""))))</f>
        <v>Moderado</v>
      </c>
      <c r="S92" s="125">
        <v>1</v>
      </c>
      <c r="T92" s="259" t="s">
        <v>563</v>
      </c>
      <c r="U92" s="184" t="s">
        <v>154</v>
      </c>
      <c r="V92" s="261" t="s">
        <v>155</v>
      </c>
      <c r="W92" s="261" t="s">
        <v>156</v>
      </c>
      <c r="X92" s="262" t="str">
        <f t="shared" ref="X92" si="143">IF(AND(V92="Preventivo",W92="Automático"),"50%",IF(AND(V92="Preventivo",W92="Manual"),"40%",IF(AND(V92="Detectivo",W92="Automático"),"40%",IF(AND(V92="Detectivo",W92="Manual"),"30%",IF(AND(V92="Correctivo",W92="Automático"),"35%",IF(AND(V92="Correctivo",W92="Manual"),"25%",""))))))</f>
        <v>40%</v>
      </c>
      <c r="Y92" s="261" t="s">
        <v>157</v>
      </c>
      <c r="Z92" s="261" t="s">
        <v>158</v>
      </c>
      <c r="AA92" s="261" t="s">
        <v>159</v>
      </c>
      <c r="AB92" s="263">
        <f t="shared" ref="AB92" si="144">IFERROR(IF(U92="Probabilidad",(M92-(+M92*X92)),IF(U92="Impacto",M92,"")),"")</f>
        <v>0.36</v>
      </c>
      <c r="AC92" s="269" t="str">
        <f t="shared" si="139"/>
        <v>Baja</v>
      </c>
      <c r="AD92" s="264">
        <f t="shared" si="140"/>
        <v>0.36</v>
      </c>
      <c r="AE92" s="269" t="str">
        <f t="shared" ca="1" si="141"/>
        <v>Moderado</v>
      </c>
      <c r="AF92" s="264">
        <f t="shared" ref="AF92" ca="1" si="145">IFERROR(IF(U92="Impacto",(Q92-(+Q92*X92)),IF(U92="Probabilidad",Q92,"")),"")</f>
        <v>0.6</v>
      </c>
      <c r="AG92" s="265" t="str">
        <f t="shared" ca="1" si="142"/>
        <v>Moderado</v>
      </c>
      <c r="AH92" s="266" t="s">
        <v>160</v>
      </c>
      <c r="AI92" s="162"/>
      <c r="AJ92" s="187" t="s">
        <v>32</v>
      </c>
      <c r="AK92" s="188" t="s">
        <v>379</v>
      </c>
      <c r="AL92" s="268" t="s">
        <v>207</v>
      </c>
      <c r="AM92" s="268" t="s">
        <v>207</v>
      </c>
      <c r="AN92" s="277" t="s">
        <v>165</v>
      </c>
      <c r="AO92" s="163"/>
      <c r="AP92" s="163"/>
      <c r="AQ92" s="163"/>
      <c r="AR92" s="277"/>
      <c r="AS92" s="361"/>
      <c r="AT92" s="379" t="s">
        <v>166</v>
      </c>
      <c r="AU92" s="362" t="s">
        <v>166</v>
      </c>
      <c r="AV92" s="368"/>
      <c r="AW92" s="164"/>
      <c r="AX92" s="164"/>
      <c r="AY92" s="164"/>
      <c r="AZ92" s="164"/>
      <c r="BA92" s="164"/>
      <c r="BB92" s="164"/>
      <c r="BC92" s="164"/>
      <c r="BD92" s="164"/>
      <c r="BE92" s="164"/>
      <c r="BF92" s="164"/>
      <c r="BG92" s="164"/>
      <c r="BH92" s="164"/>
      <c r="BI92" s="164"/>
      <c r="BJ92" s="164"/>
      <c r="BK92" s="164"/>
      <c r="BL92" s="164"/>
      <c r="BM92" s="164"/>
      <c r="BN92" s="164"/>
      <c r="BO92" s="164"/>
      <c r="BP92" s="164"/>
      <c r="BQ92" s="164"/>
      <c r="BR92" s="164"/>
      <c r="BS92" s="164"/>
      <c r="BT92" s="164"/>
    </row>
    <row r="93" spans="1:72" s="165" customFormat="1" ht="151.5" customHeight="1" x14ac:dyDescent="0.3">
      <c r="A93" s="531"/>
      <c r="B93" s="533"/>
      <c r="C93" s="521"/>
      <c r="D93" s="521"/>
      <c r="E93" s="667"/>
      <c r="F93" s="426"/>
      <c r="G93" s="426"/>
      <c r="H93" s="426"/>
      <c r="I93" s="426"/>
      <c r="J93" s="426"/>
      <c r="K93" s="677"/>
      <c r="L93" s="673"/>
      <c r="M93" s="514"/>
      <c r="N93" s="671"/>
      <c r="O93" s="166"/>
      <c r="P93" s="673"/>
      <c r="Q93" s="514"/>
      <c r="R93" s="676"/>
      <c r="S93" s="125">
        <v>2</v>
      </c>
      <c r="T93" s="259" t="s">
        <v>564</v>
      </c>
      <c r="U93" s="184" t="s">
        <v>154</v>
      </c>
      <c r="V93" s="261" t="s">
        <v>155</v>
      </c>
      <c r="W93" s="261" t="s">
        <v>156</v>
      </c>
      <c r="X93" s="262" t="str">
        <f t="shared" ref="X93:X95" si="146">IF(AND(V93="Preventivo",W93="Automático"),"50%",IF(AND(V93="Preventivo",W93="Manual"),"40%",IF(AND(V93="Detectivo",W93="Automático"),"40%",IF(AND(V93="Detectivo",W93="Manual"),"30%",IF(AND(V93="Correctivo",W93="Automático"),"35%",IF(AND(V93="Correctivo",W93="Manual"),"25%",""))))))</f>
        <v>40%</v>
      </c>
      <c r="Y93" s="261" t="s">
        <v>157</v>
      </c>
      <c r="Z93" s="261" t="s">
        <v>158</v>
      </c>
      <c r="AA93" s="261" t="s">
        <v>159</v>
      </c>
      <c r="AB93" s="263">
        <f>IFERROR(IF(U93="Probabilidad",(AB92-(+AB92*X93)),IF(U93="Impacto",AB92,"")),"")</f>
        <v>0.216</v>
      </c>
      <c r="AC93" s="269" t="str">
        <f t="shared" ref="AC93:AC95" si="147">IFERROR(IF(AB93="","",IF(AB93&lt;=0.2,"Muy Baja",IF(AB93&lt;=0.4,"Baja",IF(AB93&lt;=0.6,"Media",IF(AB93&lt;=0.8,"Alta","Muy Alta"))))),"")</f>
        <v>Baja</v>
      </c>
      <c r="AD93" s="264">
        <f t="shared" ref="AD93:AD95" si="148">+AB93</f>
        <v>0.216</v>
      </c>
      <c r="AE93" s="269" t="str">
        <f t="shared" ref="AE93:AE95" ca="1" si="149">IFERROR(IF(AF93="","",IF(AF93&lt;=0.2,"Leve",IF(AF93&lt;=0.4,"Menor",IF(AF93&lt;=0.6,"Moderado",IF(AF93&lt;=0.8,"Mayor","Catastrófico"))))),"")</f>
        <v>Moderado</v>
      </c>
      <c r="AF93" s="264">
        <f ca="1">IFERROR(IF(U93="Impacto",(Q92-(+Q92*X93)),IF(U93="Probabilidad",Q92,"")),"")</f>
        <v>0.6</v>
      </c>
      <c r="AG93" s="265" t="str">
        <f t="shared" ref="AG93:AG95" ca="1" si="150">IFERROR(IF(OR(AND(AC93="Muy Baja",AE93="Leve"),AND(AC93="Muy Baja",AE93="Menor"),AND(AC93="Baja",AE93="Leve")),"Bajo",IF(OR(AND(AC93="Muy baja",AE93="Moderado"),AND(AC93="Baja",AE93="Menor"),AND(AC93="Baja",AE93="Moderado"),AND(AC93="Media",AE93="Leve"),AND(AC93="Media",AE93="Menor"),AND(AC93="Media",AE93="Moderado"),AND(AC93="Alta",AE93="Leve"),AND(AC93="Alta",AE93="Menor")),"Moderado",IF(OR(AND(AC93="Muy Baja",AE93="Mayor"),AND(AC93="Baja",AE93="Mayor"),AND(AC93="Media",AE93="Mayor"),AND(AC93="Alta",AE93="Moderado"),AND(AC93="Alta",AE93="Mayor"),AND(AC93="Muy Alta",AE93="Leve"),AND(AC93="Muy Alta",AE93="Menor"),AND(AC93="Muy Alta",AE93="Moderado"),AND(AC93="Muy Alta",AE93="Mayor")),"Alto",IF(OR(AND(AC93="Muy Baja",AE93="Catastrófico"),AND(AC93="Baja",AE93="Catastrófico"),AND(AC93="Media",AE93="Catastrófico"),AND(AC93="Alta",AE93="Catastrófico"),AND(AC93="Muy Alta",AE93="Catastrófico")),"Extremo","")))),"")</f>
        <v>Moderado</v>
      </c>
      <c r="AH93" s="266" t="s">
        <v>160</v>
      </c>
      <c r="AI93" s="162"/>
      <c r="AJ93" s="187" t="s">
        <v>32</v>
      </c>
      <c r="AK93" s="188" t="s">
        <v>379</v>
      </c>
      <c r="AL93" s="268" t="s">
        <v>207</v>
      </c>
      <c r="AM93" s="268" t="s">
        <v>207</v>
      </c>
      <c r="AN93" s="277" t="s">
        <v>165</v>
      </c>
      <c r="AO93" s="163"/>
      <c r="AP93" s="163"/>
      <c r="AQ93" s="163"/>
      <c r="AR93" s="277"/>
      <c r="AS93" s="361"/>
      <c r="AT93" s="379" t="s">
        <v>166</v>
      </c>
      <c r="AU93" s="362" t="s">
        <v>166</v>
      </c>
      <c r="AV93" s="368"/>
      <c r="AW93" s="164"/>
      <c r="AX93" s="164"/>
      <c r="AY93" s="164"/>
      <c r="AZ93" s="164"/>
      <c r="BA93" s="164"/>
      <c r="BB93" s="164"/>
      <c r="BC93" s="164"/>
      <c r="BD93" s="164"/>
      <c r="BE93" s="164"/>
      <c r="BF93" s="164"/>
      <c r="BG93" s="164"/>
      <c r="BH93" s="164"/>
      <c r="BI93" s="164"/>
      <c r="BJ93" s="164"/>
      <c r="BK93" s="164"/>
      <c r="BL93" s="164"/>
      <c r="BM93" s="164"/>
      <c r="BN93" s="164"/>
      <c r="BO93" s="164"/>
      <c r="BP93" s="164"/>
      <c r="BQ93" s="164"/>
      <c r="BR93" s="164"/>
      <c r="BS93" s="164"/>
      <c r="BT93" s="164"/>
    </row>
    <row r="94" spans="1:72" s="165" customFormat="1" ht="151.5" customHeight="1" x14ac:dyDescent="0.3">
      <c r="A94" s="531"/>
      <c r="B94" s="533"/>
      <c r="C94" s="521"/>
      <c r="D94" s="521"/>
      <c r="E94" s="667"/>
      <c r="F94" s="426"/>
      <c r="G94" s="426"/>
      <c r="H94" s="426"/>
      <c r="I94" s="426"/>
      <c r="J94" s="426"/>
      <c r="K94" s="677"/>
      <c r="L94" s="673"/>
      <c r="M94" s="514"/>
      <c r="N94" s="671"/>
      <c r="O94" s="166"/>
      <c r="P94" s="673"/>
      <c r="Q94" s="514"/>
      <c r="R94" s="676"/>
      <c r="S94" s="125">
        <v>3</v>
      </c>
      <c r="T94" s="259" t="s">
        <v>565</v>
      </c>
      <c r="U94" s="184" t="s">
        <v>154</v>
      </c>
      <c r="V94" s="261" t="s">
        <v>155</v>
      </c>
      <c r="W94" s="261" t="s">
        <v>156</v>
      </c>
      <c r="X94" s="262" t="str">
        <f t="shared" si="146"/>
        <v>40%</v>
      </c>
      <c r="Y94" s="261" t="s">
        <v>157</v>
      </c>
      <c r="Z94" s="261" t="s">
        <v>158</v>
      </c>
      <c r="AA94" s="261" t="s">
        <v>159</v>
      </c>
      <c r="AB94" s="263">
        <f>IFERROR(IF(U94="Probabilidad",(AB93-(+AB93*X94)),IF(U94="Impacto",AB93,"")),"")</f>
        <v>0.12959999999999999</v>
      </c>
      <c r="AC94" s="269" t="str">
        <f t="shared" si="147"/>
        <v>Muy Baja</v>
      </c>
      <c r="AD94" s="264">
        <f t="shared" si="148"/>
        <v>0.12959999999999999</v>
      </c>
      <c r="AE94" s="269" t="str">
        <f t="shared" ca="1" si="149"/>
        <v>Moderado</v>
      </c>
      <c r="AF94" s="264">
        <f ca="1">IFERROR(IF(U94="Impacto",(Q92-(+Q92*X94)),IF(U94="Probabilidad",Q92,"")),"")</f>
        <v>0.6</v>
      </c>
      <c r="AG94" s="265" t="str">
        <f t="shared" ca="1" si="150"/>
        <v>Moderado</v>
      </c>
      <c r="AH94" s="266" t="s">
        <v>160</v>
      </c>
      <c r="AI94" s="162"/>
      <c r="AJ94" s="187" t="s">
        <v>32</v>
      </c>
      <c r="AK94" s="188" t="s">
        <v>379</v>
      </c>
      <c r="AL94" s="268" t="s">
        <v>207</v>
      </c>
      <c r="AM94" s="268" t="s">
        <v>207</v>
      </c>
      <c r="AN94" s="277" t="s">
        <v>165</v>
      </c>
      <c r="AO94" s="163"/>
      <c r="AP94" s="163"/>
      <c r="AQ94" s="163"/>
      <c r="AR94" s="277"/>
      <c r="AS94" s="361"/>
      <c r="AT94" s="379" t="s">
        <v>166</v>
      </c>
      <c r="AU94" s="362" t="s">
        <v>166</v>
      </c>
      <c r="AV94" s="368"/>
      <c r="AW94" s="164"/>
      <c r="AX94" s="164"/>
      <c r="AY94" s="164"/>
      <c r="AZ94" s="164"/>
      <c r="BA94" s="164"/>
      <c r="BB94" s="164"/>
      <c r="BC94" s="164"/>
      <c r="BD94" s="164"/>
      <c r="BE94" s="164"/>
      <c r="BF94" s="164"/>
      <c r="BG94" s="164"/>
      <c r="BH94" s="164"/>
      <c r="BI94" s="164"/>
      <c r="BJ94" s="164"/>
      <c r="BK94" s="164"/>
      <c r="BL94" s="164"/>
      <c r="BM94" s="164"/>
      <c r="BN94" s="164"/>
      <c r="BO94" s="164"/>
      <c r="BP94" s="164"/>
      <c r="BQ94" s="164"/>
      <c r="BR94" s="164"/>
      <c r="BS94" s="164"/>
      <c r="BT94" s="164"/>
    </row>
    <row r="95" spans="1:72" s="165" customFormat="1" ht="9" customHeight="1" x14ac:dyDescent="0.3">
      <c r="A95" s="661"/>
      <c r="B95" s="663"/>
      <c r="C95" s="664"/>
      <c r="D95" s="664"/>
      <c r="E95" s="668"/>
      <c r="F95" s="467"/>
      <c r="G95" s="467"/>
      <c r="H95" s="467"/>
      <c r="I95" s="467"/>
      <c r="J95" s="467"/>
      <c r="K95" s="678"/>
      <c r="L95" s="680"/>
      <c r="M95" s="681"/>
      <c r="N95" s="683"/>
      <c r="O95" s="251">
        <f ca="1">IF(NOT(ISERROR(MATCH(N95,_xlfn.ANCHORARRAY(#REF!),0))),#REF!&amp;"Por favor no seleccionar los criterios de impacto",N95)</f>
        <v>0</v>
      </c>
      <c r="P95" s="680"/>
      <c r="Q95" s="681"/>
      <c r="R95" s="685"/>
      <c r="S95" s="240">
        <v>4</v>
      </c>
      <c r="T95" s="241" t="s">
        <v>566</v>
      </c>
      <c r="U95" s="252" t="s">
        <v>49</v>
      </c>
      <c r="V95" s="231" t="s">
        <v>155</v>
      </c>
      <c r="W95" s="231" t="s">
        <v>156</v>
      </c>
      <c r="X95" s="232" t="str">
        <f t="shared" si="146"/>
        <v>40%</v>
      </c>
      <c r="Y95" s="231" t="s">
        <v>157</v>
      </c>
      <c r="Z95" s="231" t="s">
        <v>158</v>
      </c>
      <c r="AA95" s="231" t="s">
        <v>159</v>
      </c>
      <c r="AB95" s="233">
        <f>IFERROR(IF(U95="Probabilidad",(AB94-(+AB94*X95)),IF(U95="Impacto",AB94,"")),"")</f>
        <v>0.12959999999999999</v>
      </c>
      <c r="AC95" s="234" t="str">
        <f t="shared" si="147"/>
        <v>Muy Baja</v>
      </c>
      <c r="AD95" s="232">
        <f t="shared" si="148"/>
        <v>0.12959999999999999</v>
      </c>
      <c r="AE95" s="234" t="str">
        <f t="shared" ca="1" si="149"/>
        <v>Menor</v>
      </c>
      <c r="AF95" s="232">
        <f ca="1">IFERROR(IF(U95="Impacto",(Q92-(+Q92*X95)),IF(U95="Probabilidad",Q92,"")),"")</f>
        <v>0.36</v>
      </c>
      <c r="AG95" s="235" t="str">
        <f t="shared" ca="1" si="150"/>
        <v>Bajo</v>
      </c>
      <c r="AH95" s="231" t="s">
        <v>160</v>
      </c>
      <c r="AI95" s="253"/>
      <c r="AJ95" s="242" t="s">
        <v>32</v>
      </c>
      <c r="AK95" s="254" t="s">
        <v>379</v>
      </c>
      <c r="AL95" s="243" t="s">
        <v>207</v>
      </c>
      <c r="AM95" s="243" t="s">
        <v>207</v>
      </c>
      <c r="AN95" s="274" t="s">
        <v>165</v>
      </c>
      <c r="AO95" s="255"/>
      <c r="AP95" s="255"/>
      <c r="AQ95" s="255"/>
      <c r="AR95" s="274"/>
      <c r="AS95" s="365"/>
      <c r="AT95" s="382" t="s">
        <v>166</v>
      </c>
      <c r="AU95" s="377" t="s">
        <v>166</v>
      </c>
      <c r="AV95" s="371"/>
      <c r="AW95" s="164"/>
      <c r="AX95" s="164"/>
      <c r="AY95" s="164"/>
      <c r="AZ95" s="164"/>
      <c r="BA95" s="164"/>
      <c r="BB95" s="164"/>
      <c r="BC95" s="164"/>
      <c r="BD95" s="164"/>
      <c r="BE95" s="164"/>
      <c r="BF95" s="164"/>
      <c r="BG95" s="164"/>
      <c r="BH95" s="164"/>
      <c r="BI95" s="164"/>
      <c r="BJ95" s="164"/>
      <c r="BK95" s="164"/>
      <c r="BL95" s="164"/>
      <c r="BM95" s="164"/>
      <c r="BN95" s="164"/>
      <c r="BO95" s="164"/>
      <c r="BP95" s="164"/>
      <c r="BQ95" s="164"/>
      <c r="BR95" s="164"/>
      <c r="BS95" s="164"/>
      <c r="BT95" s="164"/>
    </row>
    <row r="96" spans="1:72" ht="49.5" customHeight="1" x14ac:dyDescent="0.3">
      <c r="E96" s="6"/>
      <c r="F96" s="534" t="s">
        <v>445</v>
      </c>
      <c r="G96" s="535"/>
      <c r="H96" s="535"/>
      <c r="I96" s="535"/>
      <c r="J96" s="535"/>
      <c r="K96" s="535"/>
      <c r="L96" s="535"/>
      <c r="M96" s="535"/>
      <c r="N96" s="535"/>
      <c r="O96" s="535"/>
      <c r="P96" s="535"/>
      <c r="Q96" s="535"/>
      <c r="R96" s="535"/>
      <c r="S96" s="535"/>
      <c r="T96" s="535"/>
      <c r="U96" s="535"/>
      <c r="V96" s="535"/>
      <c r="W96" s="535"/>
      <c r="X96" s="535"/>
      <c r="Y96" s="535"/>
      <c r="Z96" s="535"/>
      <c r="AA96" s="535"/>
      <c r="AB96" s="535"/>
      <c r="AC96" s="535"/>
      <c r="AD96" s="535"/>
      <c r="AE96" s="535"/>
      <c r="AF96" s="535"/>
      <c r="AG96" s="535"/>
      <c r="AH96" s="535"/>
      <c r="AI96" s="535"/>
      <c r="AJ96" s="535"/>
      <c r="AK96" s="535"/>
      <c r="AL96" s="535"/>
      <c r="AM96" s="535"/>
      <c r="AN96" s="536"/>
      <c r="AT96" s="383"/>
      <c r="AU96" s="372"/>
      <c r="AV96" s="373"/>
    </row>
    <row r="98" spans="5:10" x14ac:dyDescent="0.3">
      <c r="E98" s="1"/>
      <c r="F98" s="24" t="s">
        <v>446</v>
      </c>
      <c r="G98" s="1"/>
      <c r="H98" s="1"/>
      <c r="J98" s="1"/>
    </row>
  </sheetData>
  <dataConsolidate/>
  <mergeCells count="665">
    <mergeCell ref="O70:O71"/>
    <mergeCell ref="O72:O73"/>
    <mergeCell ref="AI51:AI53"/>
    <mergeCell ref="I43:I45"/>
    <mergeCell ref="H43:H45"/>
    <mergeCell ref="G43:G45"/>
    <mergeCell ref="F43:F45"/>
    <mergeCell ref="E43:E45"/>
    <mergeCell ref="O11:O13"/>
    <mergeCell ref="O14:O15"/>
    <mergeCell ref="O16:O18"/>
    <mergeCell ref="O19:O21"/>
    <mergeCell ref="O27:O28"/>
    <mergeCell ref="O33:O34"/>
    <mergeCell ref="O24:O26"/>
    <mergeCell ref="AI16:AI18"/>
    <mergeCell ref="K46:K48"/>
    <mergeCell ref="J41:J42"/>
    <mergeCell ref="K41:K42"/>
    <mergeCell ref="L58:L59"/>
    <mergeCell ref="M58:M59"/>
    <mergeCell ref="N58:N59"/>
    <mergeCell ref="O39:O40"/>
    <mergeCell ref="J39:J40"/>
    <mergeCell ref="AP24:AP25"/>
    <mergeCell ref="AQ24:AQ25"/>
    <mergeCell ref="K92:K95"/>
    <mergeCell ref="L92:L95"/>
    <mergeCell ref="M92:M95"/>
    <mergeCell ref="N92:N95"/>
    <mergeCell ref="P92:P95"/>
    <mergeCell ref="R92:R95"/>
    <mergeCell ref="Q92:Q95"/>
    <mergeCell ref="K89:K91"/>
    <mergeCell ref="L89:L91"/>
    <mergeCell ref="M89:M91"/>
    <mergeCell ref="AI87:AI88"/>
    <mergeCell ref="AO87:AO88"/>
    <mergeCell ref="AP87:AP88"/>
    <mergeCell ref="AQ87:AQ88"/>
    <mergeCell ref="AO80:AO81"/>
    <mergeCell ref="AP80:AP81"/>
    <mergeCell ref="AQ80:AQ81"/>
    <mergeCell ref="AQ76:AQ77"/>
    <mergeCell ref="N78:N79"/>
    <mergeCell ref="P78:P79"/>
    <mergeCell ref="Q78:Q79"/>
    <mergeCell ref="AO74:AO75"/>
    <mergeCell ref="I89:I91"/>
    <mergeCell ref="J89:J91"/>
    <mergeCell ref="AI80:AI81"/>
    <mergeCell ref="AI74:AI75"/>
    <mergeCell ref="L27:L28"/>
    <mergeCell ref="M27:M28"/>
    <mergeCell ref="N27:N28"/>
    <mergeCell ref="P27:P28"/>
    <mergeCell ref="Q27:Q28"/>
    <mergeCell ref="R27:R28"/>
    <mergeCell ref="AI27:AI28"/>
    <mergeCell ref="N39:N40"/>
    <mergeCell ref="N89:N91"/>
    <mergeCell ref="P89:P91"/>
    <mergeCell ref="Q89:Q91"/>
    <mergeCell ref="R89:R91"/>
    <mergeCell ref="AI89:AI91"/>
    <mergeCell ref="K87:K88"/>
    <mergeCell ref="L87:L88"/>
    <mergeCell ref="M87:M88"/>
    <mergeCell ref="N87:N88"/>
    <mergeCell ref="P87:P88"/>
    <mergeCell ref="Q87:Q88"/>
    <mergeCell ref="R87:R88"/>
    <mergeCell ref="F92:F95"/>
    <mergeCell ref="G92:G95"/>
    <mergeCell ref="H92:H95"/>
    <mergeCell ref="I92:I95"/>
    <mergeCell ref="J92:J95"/>
    <mergeCell ref="A86:A88"/>
    <mergeCell ref="B86:B88"/>
    <mergeCell ref="C86:C88"/>
    <mergeCell ref="D86:D88"/>
    <mergeCell ref="A89:A95"/>
    <mergeCell ref="B89:B95"/>
    <mergeCell ref="C89:C95"/>
    <mergeCell ref="D89:D95"/>
    <mergeCell ref="E89:E91"/>
    <mergeCell ref="E92:E95"/>
    <mergeCell ref="E87:E88"/>
    <mergeCell ref="F87:F88"/>
    <mergeCell ref="G87:G88"/>
    <mergeCell ref="H87:H88"/>
    <mergeCell ref="I87:I88"/>
    <mergeCell ref="J87:J88"/>
    <mergeCell ref="F89:F91"/>
    <mergeCell ref="G89:G91"/>
    <mergeCell ref="H89:H91"/>
    <mergeCell ref="I84:I85"/>
    <mergeCell ref="J80:J81"/>
    <mergeCell ref="K80:K81"/>
    <mergeCell ref="L80:L81"/>
    <mergeCell ref="M80:M81"/>
    <mergeCell ref="N80:N81"/>
    <mergeCell ref="P80:P81"/>
    <mergeCell ref="Q80:Q81"/>
    <mergeCell ref="R80:R81"/>
    <mergeCell ref="I80:I81"/>
    <mergeCell ref="O80:O81"/>
    <mergeCell ref="I82:I83"/>
    <mergeCell ref="N82:N83"/>
    <mergeCell ref="M82:M83"/>
    <mergeCell ref="L82:L83"/>
    <mergeCell ref="K82:K83"/>
    <mergeCell ref="J82:J83"/>
    <mergeCell ref="H82:H83"/>
    <mergeCell ref="G82:G83"/>
    <mergeCell ref="F82:F83"/>
    <mergeCell ref="E82:E83"/>
    <mergeCell ref="A80:A85"/>
    <mergeCell ref="B80:B85"/>
    <mergeCell ref="C80:C85"/>
    <mergeCell ref="D80:D85"/>
    <mergeCell ref="E84:E85"/>
    <mergeCell ref="F84:F85"/>
    <mergeCell ref="G84:G85"/>
    <mergeCell ref="H84:H85"/>
    <mergeCell ref="E80:E81"/>
    <mergeCell ref="F80:F81"/>
    <mergeCell ref="G80:G81"/>
    <mergeCell ref="H80:H81"/>
    <mergeCell ref="J78:J79"/>
    <mergeCell ref="K78:K79"/>
    <mergeCell ref="L78:L79"/>
    <mergeCell ref="M78:M79"/>
    <mergeCell ref="R78:R79"/>
    <mergeCell ref="AI78:AI79"/>
    <mergeCell ref="AO78:AO79"/>
    <mergeCell ref="AP78:AP79"/>
    <mergeCell ref="AQ78:AQ79"/>
    <mergeCell ref="N76:N77"/>
    <mergeCell ref="P76:P77"/>
    <mergeCell ref="Q76:Q77"/>
    <mergeCell ref="R76:R77"/>
    <mergeCell ref="AI76:AI77"/>
    <mergeCell ref="AO76:AO77"/>
    <mergeCell ref="AP76:AP77"/>
    <mergeCell ref="C74:C75"/>
    <mergeCell ref="N74:N75"/>
    <mergeCell ref="D74:D75"/>
    <mergeCell ref="E74:E75"/>
    <mergeCell ref="F74:F75"/>
    <mergeCell ref="G74:G75"/>
    <mergeCell ref="H74:H75"/>
    <mergeCell ref="I74:I75"/>
    <mergeCell ref="J74:J75"/>
    <mergeCell ref="K74:K75"/>
    <mergeCell ref="L74:L75"/>
    <mergeCell ref="O74:O75"/>
    <mergeCell ref="P74:P75"/>
    <mergeCell ref="Q74:Q75"/>
    <mergeCell ref="R74:R75"/>
    <mergeCell ref="M74:M75"/>
    <mergeCell ref="AP74:AP75"/>
    <mergeCell ref="A76:A79"/>
    <mergeCell ref="B76:B79"/>
    <mergeCell ref="C76:C79"/>
    <mergeCell ref="D76:D79"/>
    <mergeCell ref="E76:E77"/>
    <mergeCell ref="F76:F77"/>
    <mergeCell ref="G76:G77"/>
    <mergeCell ref="H76:H77"/>
    <mergeCell ref="I76:I77"/>
    <mergeCell ref="E78:E79"/>
    <mergeCell ref="F78:F79"/>
    <mergeCell ref="G78:G79"/>
    <mergeCell ref="H78:H79"/>
    <mergeCell ref="I78:I79"/>
    <mergeCell ref="A39:A48"/>
    <mergeCell ref="B39:B48"/>
    <mergeCell ref="D19:D23"/>
    <mergeCell ref="C39:C48"/>
    <mergeCell ref="D39:D48"/>
    <mergeCell ref="F58:F59"/>
    <mergeCell ref="E58:E59"/>
    <mergeCell ref="F39:F40"/>
    <mergeCell ref="I19:I21"/>
    <mergeCell ref="I27:I28"/>
    <mergeCell ref="H39:H40"/>
    <mergeCell ref="I39:I40"/>
    <mergeCell ref="E39:E40"/>
    <mergeCell ref="E46:E48"/>
    <mergeCell ref="F46:F48"/>
    <mergeCell ref="G46:G48"/>
    <mergeCell ref="C49:C54"/>
    <mergeCell ref="C55:C59"/>
    <mergeCell ref="D55:D59"/>
    <mergeCell ref="A29:A30"/>
    <mergeCell ref="B29:B30"/>
    <mergeCell ref="C29:C30"/>
    <mergeCell ref="D29:D30"/>
    <mergeCell ref="A37:A38"/>
    <mergeCell ref="AP27:AP28"/>
    <mergeCell ref="AQ27:AQ28"/>
    <mergeCell ref="C16:C28"/>
    <mergeCell ref="B16:B28"/>
    <mergeCell ref="A16:A28"/>
    <mergeCell ref="E70:E71"/>
    <mergeCell ref="AI19:AI21"/>
    <mergeCell ref="AO27:AO28"/>
    <mergeCell ref="B74:B75"/>
    <mergeCell ref="A74:A75"/>
    <mergeCell ref="D70:D71"/>
    <mergeCell ref="D27:D28"/>
    <mergeCell ref="E19:E21"/>
    <mergeCell ref="F19:F21"/>
    <mergeCell ref="G19:G21"/>
    <mergeCell ref="H19:H21"/>
    <mergeCell ref="E27:E28"/>
    <mergeCell ref="F27:F28"/>
    <mergeCell ref="G27:G28"/>
    <mergeCell ref="H27:H28"/>
    <mergeCell ref="A55:A59"/>
    <mergeCell ref="B55:B59"/>
    <mergeCell ref="A49:A54"/>
    <mergeCell ref="B49:B54"/>
    <mergeCell ref="D16:D18"/>
    <mergeCell ref="E16:E18"/>
    <mergeCell ref="F16:F18"/>
    <mergeCell ref="G16:G18"/>
    <mergeCell ref="H16:H18"/>
    <mergeCell ref="I16:I18"/>
    <mergeCell ref="L19:L21"/>
    <mergeCell ref="M19:M21"/>
    <mergeCell ref="N19:N21"/>
    <mergeCell ref="J19:J21"/>
    <mergeCell ref="AQ46:AQ48"/>
    <mergeCell ref="AI41:AI42"/>
    <mergeCell ref="AO41:AO42"/>
    <mergeCell ref="AP41:AP42"/>
    <mergeCell ref="AQ41:AQ42"/>
    <mergeCell ref="L46:L48"/>
    <mergeCell ref="M46:M48"/>
    <mergeCell ref="N46:N48"/>
    <mergeCell ref="O46:O48"/>
    <mergeCell ref="P46:P48"/>
    <mergeCell ref="Q46:Q48"/>
    <mergeCell ref="R46:R48"/>
    <mergeCell ref="AI46:AI48"/>
    <mergeCell ref="AO46:AO48"/>
    <mergeCell ref="AP46:AP48"/>
    <mergeCell ref="L41:L42"/>
    <mergeCell ref="AI43:AI45"/>
    <mergeCell ref="AO43:AO45"/>
    <mergeCell ref="AP43:AP45"/>
    <mergeCell ref="AQ43:AQ45"/>
    <mergeCell ref="O43:O45"/>
    <mergeCell ref="P43:P45"/>
    <mergeCell ref="Q43:Q45"/>
    <mergeCell ref="R43:R45"/>
    <mergeCell ref="AO24:AO25"/>
    <mergeCell ref="D24:D26"/>
    <mergeCell ref="E24:E26"/>
    <mergeCell ref="F24:F26"/>
    <mergeCell ref="P24:P26"/>
    <mergeCell ref="Q24:Q26"/>
    <mergeCell ref="R24:R26"/>
    <mergeCell ref="AI24:AI26"/>
    <mergeCell ref="J27:J28"/>
    <mergeCell ref="K27:K28"/>
    <mergeCell ref="N24:N26"/>
    <mergeCell ref="O58:O59"/>
    <mergeCell ref="P58:P59"/>
    <mergeCell ref="Q58:Q59"/>
    <mergeCell ref="R58:R59"/>
    <mergeCell ref="J51:J53"/>
    <mergeCell ref="K51:K53"/>
    <mergeCell ref="L51:L53"/>
    <mergeCell ref="M51:M53"/>
    <mergeCell ref="N51:N53"/>
    <mergeCell ref="P51:P53"/>
    <mergeCell ref="Q51:Q53"/>
    <mergeCell ref="R51:R53"/>
    <mergeCell ref="L56:L57"/>
    <mergeCell ref="M56:M57"/>
    <mergeCell ref="G58:G59"/>
    <mergeCell ref="H58:H59"/>
    <mergeCell ref="I58:I59"/>
    <mergeCell ref="J58:J59"/>
    <mergeCell ref="K58:K59"/>
    <mergeCell ref="E56:E57"/>
    <mergeCell ref="F56:F57"/>
    <mergeCell ref="G56:G57"/>
    <mergeCell ref="H56:H57"/>
    <mergeCell ref="I56:I57"/>
    <mergeCell ref="J56:J57"/>
    <mergeCell ref="K56:K57"/>
    <mergeCell ref="A60:A65"/>
    <mergeCell ref="Q63:Q65"/>
    <mergeCell ref="D66:D69"/>
    <mergeCell ref="A66:A69"/>
    <mergeCell ref="B66:B69"/>
    <mergeCell ref="C66:C69"/>
    <mergeCell ref="J63:J65"/>
    <mergeCell ref="I63:I65"/>
    <mergeCell ref="H63:H65"/>
    <mergeCell ref="G63:G65"/>
    <mergeCell ref="F63:F65"/>
    <mergeCell ref="E63:E65"/>
    <mergeCell ref="D60:D65"/>
    <mergeCell ref="C60:C65"/>
    <mergeCell ref="E60:E62"/>
    <mergeCell ref="F60:F62"/>
    <mergeCell ref="H60:H62"/>
    <mergeCell ref="I60:I62"/>
    <mergeCell ref="J60:J62"/>
    <mergeCell ref="G60:G62"/>
    <mergeCell ref="K63:K65"/>
    <mergeCell ref="K60:K62"/>
    <mergeCell ref="I1:AQ3"/>
    <mergeCell ref="AR1:AV1"/>
    <mergeCell ref="AR2:AV2"/>
    <mergeCell ref="AR3:AV3"/>
    <mergeCell ref="AO11:AO13"/>
    <mergeCell ref="AP11:AP13"/>
    <mergeCell ref="AQ11:AQ13"/>
    <mergeCell ref="AO14:AO15"/>
    <mergeCell ref="AP14:AP15"/>
    <mergeCell ref="AQ14:AQ15"/>
    <mergeCell ref="AO6:AQ6"/>
    <mergeCell ref="AO7:AQ7"/>
    <mergeCell ref="A5:AH5"/>
    <mergeCell ref="AI5:AN5"/>
    <mergeCell ref="AO5:AV5"/>
    <mergeCell ref="AO9:AO10"/>
    <mergeCell ref="AP9:AP10"/>
    <mergeCell ref="AQ9:AQ10"/>
    <mergeCell ref="AR6:AV7"/>
    <mergeCell ref="A9:A15"/>
    <mergeCell ref="B9:B15"/>
    <mergeCell ref="C9:C15"/>
    <mergeCell ref="D9:D15"/>
    <mergeCell ref="A1:H3"/>
    <mergeCell ref="A6:K6"/>
    <mergeCell ref="A7:A8"/>
    <mergeCell ref="B7:B8"/>
    <mergeCell ref="C7:C8"/>
    <mergeCell ref="D7:D8"/>
    <mergeCell ref="I14:I15"/>
    <mergeCell ref="H14:H15"/>
    <mergeCell ref="G14:G15"/>
    <mergeCell ref="F14:F15"/>
    <mergeCell ref="E14:E15"/>
    <mergeCell ref="J14:J15"/>
    <mergeCell ref="K14:K15"/>
    <mergeCell ref="E11:E13"/>
    <mergeCell ref="F11:F13"/>
    <mergeCell ref="G11:G13"/>
    <mergeCell ref="H11:H13"/>
    <mergeCell ref="I11:I13"/>
    <mergeCell ref="J11:J13"/>
    <mergeCell ref="K11:K13"/>
    <mergeCell ref="E9:E10"/>
    <mergeCell ref="F9:F10"/>
    <mergeCell ref="E7:E8"/>
    <mergeCell ref="AC7:AC8"/>
    <mergeCell ref="AD7:AD8"/>
    <mergeCell ref="R14:R15"/>
    <mergeCell ref="N9:N10"/>
    <mergeCell ref="P9:P10"/>
    <mergeCell ref="Q9:Q10"/>
    <mergeCell ref="R9:R10"/>
    <mergeCell ref="P19:P21"/>
    <mergeCell ref="Q19:Q21"/>
    <mergeCell ref="R19:R21"/>
    <mergeCell ref="N11:N13"/>
    <mergeCell ref="P11:P13"/>
    <mergeCell ref="Q11:Q13"/>
    <mergeCell ref="R11:R13"/>
    <mergeCell ref="N14:N15"/>
    <mergeCell ref="P14:P15"/>
    <mergeCell ref="Q14:Q15"/>
    <mergeCell ref="N16:N18"/>
    <mergeCell ref="P16:P18"/>
    <mergeCell ref="Q16:Q18"/>
    <mergeCell ref="R16:R18"/>
    <mergeCell ref="AB7:AB8"/>
    <mergeCell ref="T7:T8"/>
    <mergeCell ref="U7:U8"/>
    <mergeCell ref="V7:AA7"/>
    <mergeCell ref="L9:L10"/>
    <mergeCell ref="M9:M10"/>
    <mergeCell ref="O9:O10"/>
    <mergeCell ref="G9:G10"/>
    <mergeCell ref="H9:H10"/>
    <mergeCell ref="I9:I10"/>
    <mergeCell ref="J9:J10"/>
    <mergeCell ref="J7:J8"/>
    <mergeCell ref="K9:K10"/>
    <mergeCell ref="O7:O8"/>
    <mergeCell ref="I7:I8"/>
    <mergeCell ref="H7:H8"/>
    <mergeCell ref="G7:G8"/>
    <mergeCell ref="N7:N8"/>
    <mergeCell ref="R7:R8"/>
    <mergeCell ref="G51:G53"/>
    <mergeCell ref="H51:H53"/>
    <mergeCell ref="I51:I53"/>
    <mergeCell ref="G41:G42"/>
    <mergeCell ref="K19:K21"/>
    <mergeCell ref="G35:G36"/>
    <mergeCell ref="H35:H36"/>
    <mergeCell ref="I35:I36"/>
    <mergeCell ref="G24:G26"/>
    <mergeCell ref="H24:H26"/>
    <mergeCell ref="I24:I26"/>
    <mergeCell ref="K33:K34"/>
    <mergeCell ref="K39:K40"/>
    <mergeCell ref="L33:L34"/>
    <mergeCell ref="M33:M34"/>
    <mergeCell ref="L37:L38"/>
    <mergeCell ref="M37:M38"/>
    <mergeCell ref="N37:N38"/>
    <mergeCell ref="H46:H48"/>
    <mergeCell ref="I46:I48"/>
    <mergeCell ref="J46:J48"/>
    <mergeCell ref="L14:L15"/>
    <mergeCell ref="J16:J18"/>
    <mergeCell ref="K16:K18"/>
    <mergeCell ref="L16:L18"/>
    <mergeCell ref="M16:M18"/>
    <mergeCell ref="J43:J45"/>
    <mergeCell ref="K43:K45"/>
    <mergeCell ref="L43:L45"/>
    <mergeCell ref="M43:M45"/>
    <mergeCell ref="N43:N45"/>
    <mergeCell ref="J37:J38"/>
    <mergeCell ref="K37:K38"/>
    <mergeCell ref="L11:L13"/>
    <mergeCell ref="M11:M13"/>
    <mergeCell ref="M14:M15"/>
    <mergeCell ref="M31:M32"/>
    <mergeCell ref="J24:J26"/>
    <mergeCell ref="K24:K26"/>
    <mergeCell ref="L24:L26"/>
    <mergeCell ref="M24:M26"/>
    <mergeCell ref="J31:J32"/>
    <mergeCell ref="K31:K32"/>
    <mergeCell ref="L31:L32"/>
    <mergeCell ref="F96:AN96"/>
    <mergeCell ref="J33:J34"/>
    <mergeCell ref="A4:AV4"/>
    <mergeCell ref="L6:R6"/>
    <mergeCell ref="S6:AA6"/>
    <mergeCell ref="AB6:AH6"/>
    <mergeCell ref="AI6:AN6"/>
    <mergeCell ref="AN7:AN8"/>
    <mergeCell ref="AM7:AM8"/>
    <mergeCell ref="AL7:AL8"/>
    <mergeCell ref="AK7:AK8"/>
    <mergeCell ref="AJ7:AJ8"/>
    <mergeCell ref="AI7:AI8"/>
    <mergeCell ref="AH7:AH8"/>
    <mergeCell ref="S7:S8"/>
    <mergeCell ref="AG7:AG8"/>
    <mergeCell ref="AF7:AF8"/>
    <mergeCell ref="AE7:AE8"/>
    <mergeCell ref="F7:F8"/>
    <mergeCell ref="K7:K8"/>
    <mergeCell ref="L7:L8"/>
    <mergeCell ref="M7:M8"/>
    <mergeCell ref="P7:P8"/>
    <mergeCell ref="Q7:Q8"/>
    <mergeCell ref="A31:A36"/>
    <mergeCell ref="B31:B36"/>
    <mergeCell ref="C31:C36"/>
    <mergeCell ref="D31:D36"/>
    <mergeCell ref="E31:E32"/>
    <mergeCell ref="F31:F32"/>
    <mergeCell ref="G31:G32"/>
    <mergeCell ref="H31:H32"/>
    <mergeCell ref="I31:I32"/>
    <mergeCell ref="E35:E36"/>
    <mergeCell ref="F35:F36"/>
    <mergeCell ref="E33:E34"/>
    <mergeCell ref="F33:F34"/>
    <mergeCell ref="G33:G34"/>
    <mergeCell ref="H33:H34"/>
    <mergeCell ref="I33:I34"/>
    <mergeCell ref="AO35:AO36"/>
    <mergeCell ref="AP35:AP36"/>
    <mergeCell ref="AQ35:AQ36"/>
    <mergeCell ref="J35:J36"/>
    <mergeCell ref="K35:K36"/>
    <mergeCell ref="L35:L36"/>
    <mergeCell ref="M35:M36"/>
    <mergeCell ref="N35:N36"/>
    <mergeCell ref="P35:P36"/>
    <mergeCell ref="Q35:Q36"/>
    <mergeCell ref="R35:R36"/>
    <mergeCell ref="AI35:AI36"/>
    <mergeCell ref="O35:O36"/>
    <mergeCell ref="AO31:AO32"/>
    <mergeCell ref="AP31:AP32"/>
    <mergeCell ref="AQ31:AQ32"/>
    <mergeCell ref="N33:N34"/>
    <mergeCell ref="P33:P34"/>
    <mergeCell ref="Q33:Q34"/>
    <mergeCell ref="R33:R34"/>
    <mergeCell ref="AI33:AI34"/>
    <mergeCell ref="AO33:AO34"/>
    <mergeCell ref="AP33:AP34"/>
    <mergeCell ref="AQ33:AQ34"/>
    <mergeCell ref="Q31:Q32"/>
    <mergeCell ref="R31:R32"/>
    <mergeCell ref="AI31:AI32"/>
    <mergeCell ref="N31:N32"/>
    <mergeCell ref="P31:P32"/>
    <mergeCell ref="O31:O32"/>
    <mergeCell ref="B37:B38"/>
    <mergeCell ref="C37:C38"/>
    <mergeCell ref="D37:D38"/>
    <mergeCell ref="E37:E38"/>
    <mergeCell ref="F37:F38"/>
    <mergeCell ref="G37:G38"/>
    <mergeCell ref="H37:H38"/>
    <mergeCell ref="I37:I38"/>
    <mergeCell ref="R39:R40"/>
    <mergeCell ref="P37:P38"/>
    <mergeCell ref="Q37:Q38"/>
    <mergeCell ref="R37:R38"/>
    <mergeCell ref="G39:G40"/>
    <mergeCell ref="AI39:AI40"/>
    <mergeCell ref="AO39:AO40"/>
    <mergeCell ref="AP39:AP40"/>
    <mergeCell ref="AQ39:AQ40"/>
    <mergeCell ref="E41:E42"/>
    <mergeCell ref="F41:F42"/>
    <mergeCell ref="H41:H42"/>
    <mergeCell ref="I41:I42"/>
    <mergeCell ref="R41:R42"/>
    <mergeCell ref="M41:M42"/>
    <mergeCell ref="N41:N42"/>
    <mergeCell ref="O41:O42"/>
    <mergeCell ref="P41:P42"/>
    <mergeCell ref="Q41:Q42"/>
    <mergeCell ref="P39:P40"/>
    <mergeCell ref="Q39:Q40"/>
    <mergeCell ref="L39:L40"/>
    <mergeCell ref="M39:M40"/>
    <mergeCell ref="AI37:AI38"/>
    <mergeCell ref="O37:O38"/>
    <mergeCell ref="AO37:AO38"/>
    <mergeCell ref="AP37:AP38"/>
    <mergeCell ref="AQ37:AQ38"/>
    <mergeCell ref="D49:D54"/>
    <mergeCell ref="E49:E50"/>
    <mergeCell ref="F49:F50"/>
    <mergeCell ref="G49:G50"/>
    <mergeCell ref="H49:H50"/>
    <mergeCell ref="I49:I50"/>
    <mergeCell ref="J49:J50"/>
    <mergeCell ref="K49:K50"/>
    <mergeCell ref="L49:L50"/>
    <mergeCell ref="M49:M50"/>
    <mergeCell ref="N49:N50"/>
    <mergeCell ref="O49:O50"/>
    <mergeCell ref="P49:P50"/>
    <mergeCell ref="Q49:Q50"/>
    <mergeCell ref="R49:R50"/>
    <mergeCell ref="AI49:AI50"/>
    <mergeCell ref="AM49:AM50"/>
    <mergeCell ref="AO49:AO50"/>
    <mergeCell ref="AP49:AP50"/>
    <mergeCell ref="E51:E53"/>
    <mergeCell ref="F51:F53"/>
    <mergeCell ref="A70:A73"/>
    <mergeCell ref="B70:B73"/>
    <mergeCell ref="C70:C73"/>
    <mergeCell ref="D72:D73"/>
    <mergeCell ref="AO51:AO53"/>
    <mergeCell ref="AP51:AP53"/>
    <mergeCell ref="AQ51:AQ53"/>
    <mergeCell ref="O51:O53"/>
    <mergeCell ref="R60:R62"/>
    <mergeCell ref="L60:L62"/>
    <mergeCell ref="AI60:AI62"/>
    <mergeCell ref="AM60:AM62"/>
    <mergeCell ref="R63:R65"/>
    <mergeCell ref="P63:P65"/>
    <mergeCell ref="O63:O65"/>
    <mergeCell ref="N63:N65"/>
    <mergeCell ref="M63:M65"/>
    <mergeCell ref="L63:L65"/>
    <mergeCell ref="E72:E73"/>
    <mergeCell ref="K72:K73"/>
    <mergeCell ref="L72:L73"/>
    <mergeCell ref="B60:B65"/>
    <mergeCell ref="AM63:AM65"/>
    <mergeCell ref="M60:M62"/>
    <mergeCell ref="N60:N62"/>
    <mergeCell ref="O60:O62"/>
    <mergeCell ref="P60:P62"/>
    <mergeCell ref="Q72:Q73"/>
    <mergeCell ref="R72:R73"/>
    <mergeCell ref="Q60:Q62"/>
    <mergeCell ref="AQ49:AQ50"/>
    <mergeCell ref="AO55:AO56"/>
    <mergeCell ref="AP55:AP56"/>
    <mergeCell ref="AQ55:AQ56"/>
    <mergeCell ref="N56:N57"/>
    <mergeCell ref="O56:O57"/>
    <mergeCell ref="P56:P57"/>
    <mergeCell ref="Q56:Q57"/>
    <mergeCell ref="R56:R57"/>
    <mergeCell ref="AP70:AP71"/>
    <mergeCell ref="AQ70:AQ71"/>
    <mergeCell ref="P70:P71"/>
    <mergeCell ref="Q70:Q71"/>
    <mergeCell ref="R70:R71"/>
    <mergeCell ref="AI70:AI71"/>
    <mergeCell ref="AO70:AO71"/>
    <mergeCell ref="F70:F71"/>
    <mergeCell ref="G70:G71"/>
    <mergeCell ref="H70:H71"/>
    <mergeCell ref="I70:I71"/>
    <mergeCell ref="J70:J71"/>
    <mergeCell ref="K70:K71"/>
    <mergeCell ref="L70:L71"/>
    <mergeCell ref="M70:M71"/>
    <mergeCell ref="N70:N71"/>
    <mergeCell ref="F72:F73"/>
    <mergeCell ref="G72:G73"/>
    <mergeCell ref="H72:H73"/>
    <mergeCell ref="I72:I73"/>
    <mergeCell ref="J72:J73"/>
    <mergeCell ref="AP72:AP73"/>
    <mergeCell ref="AQ72:AQ73"/>
    <mergeCell ref="AI72:AI73"/>
    <mergeCell ref="AO72:AO73"/>
    <mergeCell ref="M72:M73"/>
    <mergeCell ref="N72:N73"/>
    <mergeCell ref="P72:P73"/>
    <mergeCell ref="AQ74:AQ75"/>
    <mergeCell ref="J76:J77"/>
    <mergeCell ref="K76:K77"/>
    <mergeCell ref="L76:L77"/>
    <mergeCell ref="M76:M77"/>
    <mergeCell ref="AO82:AO83"/>
    <mergeCell ref="AP82:AP83"/>
    <mergeCell ref="AQ82:AQ83"/>
    <mergeCell ref="AO84:AO85"/>
    <mergeCell ref="AP84:AP85"/>
    <mergeCell ref="AQ84:AQ85"/>
    <mergeCell ref="J84:J85"/>
    <mergeCell ref="K84:K85"/>
    <mergeCell ref="L84:L85"/>
    <mergeCell ref="M84:M85"/>
    <mergeCell ref="N84:N85"/>
    <mergeCell ref="P84:P85"/>
    <mergeCell ref="Q84:Q85"/>
    <mergeCell ref="R84:R85"/>
    <mergeCell ref="AI82:AI83"/>
    <mergeCell ref="AI84:AI85"/>
    <mergeCell ref="R82:R83"/>
    <mergeCell ref="Q82:Q83"/>
    <mergeCell ref="P82:P83"/>
  </mergeCells>
  <phoneticPr fontId="77" type="noConversion"/>
  <conditionalFormatting sqref="P63 P89 AE60:AE62 AE65 P92">
    <cfRule type="cellIs" dxfId="768" priority="1194" operator="equal">
      <formula>"Catastrófico"</formula>
    </cfRule>
    <cfRule type="cellIs" dxfId="767" priority="1195" operator="equal">
      <formula>"Mayor"</formula>
    </cfRule>
    <cfRule type="cellIs" dxfId="766" priority="1196" operator="equal">
      <formula>"Moderado"</formula>
    </cfRule>
    <cfRule type="cellIs" dxfId="765" priority="1197" operator="equal">
      <formula>"Menor"</formula>
    </cfRule>
    <cfRule type="cellIs" dxfId="764" priority="1198" operator="equal">
      <formula>"Leve"</formula>
    </cfRule>
  </conditionalFormatting>
  <conditionalFormatting sqref="AC60:AC62 AC65">
    <cfRule type="cellIs" dxfId="763" priority="1185" operator="equal">
      <formula>"Muy Alta"</formula>
    </cfRule>
    <cfRule type="cellIs" dxfId="762" priority="1186" operator="equal">
      <formula>"Alta"</formula>
    </cfRule>
    <cfRule type="cellIs" dxfId="761" priority="1187" operator="equal">
      <formula>"Media"</formula>
    </cfRule>
    <cfRule type="cellIs" dxfId="760" priority="1188" operator="equal">
      <formula>"Baja"</formula>
    </cfRule>
    <cfRule type="cellIs" dxfId="759" priority="1189" operator="equal">
      <formula>"Muy Baja"</formula>
    </cfRule>
  </conditionalFormatting>
  <conditionalFormatting sqref="AG60:AG62 AG65">
    <cfRule type="cellIs" dxfId="758" priority="1176" operator="equal">
      <formula>"Extremo"</formula>
    </cfRule>
    <cfRule type="cellIs" dxfId="757" priority="1177" operator="equal">
      <formula>"Alto"</formula>
    </cfRule>
    <cfRule type="cellIs" dxfId="756" priority="1178" operator="equal">
      <formula>"Moderado"</formula>
    </cfRule>
    <cfRule type="cellIs" dxfId="755" priority="1179" operator="equal">
      <formula>"Bajo"</formula>
    </cfRule>
  </conditionalFormatting>
  <conditionalFormatting sqref="R63">
    <cfRule type="cellIs" dxfId="754" priority="1120" operator="equal">
      <formula>"Extremo"</formula>
    </cfRule>
    <cfRule type="cellIs" dxfId="753" priority="1121" operator="equal">
      <formula>"Alto"</formula>
    </cfRule>
    <cfRule type="cellIs" dxfId="752" priority="1122" operator="equal">
      <formula>"Moderado"</formula>
    </cfRule>
    <cfRule type="cellIs" dxfId="751" priority="1123" operator="equal">
      <formula>"Bajo"</formula>
    </cfRule>
  </conditionalFormatting>
  <conditionalFormatting sqref="L89:L90 L92:L94">
    <cfRule type="cellIs" dxfId="750" priority="1045" operator="equal">
      <formula>"Muy Alta"</formula>
    </cfRule>
    <cfRule type="cellIs" dxfId="749" priority="1046" operator="equal">
      <formula>"Alta"</formula>
    </cfRule>
    <cfRule type="cellIs" dxfId="748" priority="1047" operator="equal">
      <formula>"Media"</formula>
    </cfRule>
    <cfRule type="cellIs" dxfId="747" priority="1048" operator="equal">
      <formula>"Baja"</formula>
    </cfRule>
    <cfRule type="cellIs" dxfId="746" priority="1049" operator="equal">
      <formula>"Muy Baja"</formula>
    </cfRule>
  </conditionalFormatting>
  <conditionalFormatting sqref="R89 R92">
    <cfRule type="cellIs" dxfId="745" priority="1036" operator="equal">
      <formula>"Extremo"</formula>
    </cfRule>
    <cfRule type="cellIs" dxfId="744" priority="1037" operator="equal">
      <formula>"Alto"</formula>
    </cfRule>
    <cfRule type="cellIs" dxfId="743" priority="1038" operator="equal">
      <formula>"Moderado"</formula>
    </cfRule>
    <cfRule type="cellIs" dxfId="742" priority="1039" operator="equal">
      <formula>"Bajo"</formula>
    </cfRule>
  </conditionalFormatting>
  <conditionalFormatting sqref="O63 O80 O86:O95">
    <cfRule type="containsText" dxfId="741" priority="881" operator="containsText" text="❌">
      <formula>NOT(ISERROR(SEARCH("❌",O63)))</formula>
    </cfRule>
  </conditionalFormatting>
  <conditionalFormatting sqref="L31 L35">
    <cfRule type="cellIs" dxfId="740" priority="780" operator="equal">
      <formula>"Muy Alta"</formula>
    </cfRule>
    <cfRule type="cellIs" dxfId="739" priority="781" operator="equal">
      <formula>"Alta"</formula>
    </cfRule>
    <cfRule type="cellIs" dxfId="738" priority="782" operator="equal">
      <formula>"Media"</formula>
    </cfRule>
    <cfRule type="cellIs" dxfId="737" priority="783" operator="equal">
      <formula>"Baja"</formula>
    </cfRule>
    <cfRule type="cellIs" dxfId="736" priority="784" operator="equal">
      <formula>"Muy Baja"</formula>
    </cfRule>
  </conditionalFormatting>
  <conditionalFormatting sqref="P31 P35">
    <cfRule type="cellIs" dxfId="735" priority="775" operator="equal">
      <formula>"Catastrófico"</formula>
    </cfRule>
    <cfRule type="cellIs" dxfId="734" priority="776" operator="equal">
      <formula>"Mayor"</formula>
    </cfRule>
    <cfRule type="cellIs" dxfId="733" priority="777" operator="equal">
      <formula>"Moderado"</formula>
    </cfRule>
    <cfRule type="cellIs" dxfId="732" priority="778" operator="equal">
      <formula>"Menor"</formula>
    </cfRule>
    <cfRule type="cellIs" dxfId="731" priority="779" operator="equal">
      <formula>"Leve"</formula>
    </cfRule>
  </conditionalFormatting>
  <conditionalFormatting sqref="R31 R35">
    <cfRule type="cellIs" dxfId="730" priority="771" operator="equal">
      <formula>"Extremo"</formula>
    </cfRule>
    <cfRule type="cellIs" dxfId="729" priority="772" operator="equal">
      <formula>"Alto"</formula>
    </cfRule>
    <cfRule type="cellIs" dxfId="728" priority="773" operator="equal">
      <formula>"Moderado"</formula>
    </cfRule>
    <cfRule type="cellIs" dxfId="727" priority="774" operator="equal">
      <formula>"Bajo"</formula>
    </cfRule>
  </conditionalFormatting>
  <conditionalFormatting sqref="AC31:AC32 AC35:AC36">
    <cfRule type="cellIs" dxfId="726" priority="766" operator="equal">
      <formula>"Muy Alta"</formula>
    </cfRule>
    <cfRule type="cellIs" dxfId="725" priority="767" operator="equal">
      <formula>"Alta"</formula>
    </cfRule>
    <cfRule type="cellIs" dxfId="724" priority="768" operator="equal">
      <formula>"Media"</formula>
    </cfRule>
    <cfRule type="cellIs" dxfId="723" priority="769" operator="equal">
      <formula>"Baja"</formula>
    </cfRule>
    <cfRule type="cellIs" dxfId="722" priority="770" operator="equal">
      <formula>"Muy Baja"</formula>
    </cfRule>
  </conditionalFormatting>
  <conditionalFormatting sqref="AE31:AE32 AE35:AE36">
    <cfRule type="cellIs" dxfId="721" priority="761" operator="equal">
      <formula>"Catastrófico"</formula>
    </cfRule>
    <cfRule type="cellIs" dxfId="720" priority="762" operator="equal">
      <formula>"Mayor"</formula>
    </cfRule>
    <cfRule type="cellIs" dxfId="719" priority="763" operator="equal">
      <formula>"Moderado"</formula>
    </cfRule>
    <cfRule type="cellIs" dxfId="718" priority="764" operator="equal">
      <formula>"Menor"</formula>
    </cfRule>
    <cfRule type="cellIs" dxfId="717" priority="765" operator="equal">
      <formula>"Leve"</formula>
    </cfRule>
  </conditionalFormatting>
  <conditionalFormatting sqref="AG31:AG32 AG35:AG36">
    <cfRule type="cellIs" dxfId="716" priority="757" operator="equal">
      <formula>"Extremo"</formula>
    </cfRule>
    <cfRule type="cellIs" dxfId="715" priority="758" operator="equal">
      <formula>"Alto"</formula>
    </cfRule>
    <cfRule type="cellIs" dxfId="714" priority="759" operator="equal">
      <formula>"Moderado"</formula>
    </cfRule>
    <cfRule type="cellIs" dxfId="713" priority="760" operator="equal">
      <formula>"Bajo"</formula>
    </cfRule>
  </conditionalFormatting>
  <conditionalFormatting sqref="O31 O35">
    <cfRule type="containsText" dxfId="712" priority="756" operator="containsText" text="❌">
      <formula>NOT(ISERROR(SEARCH("❌",O31)))</formula>
    </cfRule>
  </conditionalFormatting>
  <conditionalFormatting sqref="O39 O41 O46">
    <cfRule type="containsText" dxfId="711" priority="741" operator="containsText" text="❌">
      <formula>NOT(ISERROR(SEARCH("❌",O39)))</formula>
    </cfRule>
  </conditionalFormatting>
  <conditionalFormatting sqref="L39 L41 L46 L43 AC39:AC48">
    <cfRule type="cellIs" dxfId="710" priority="751" operator="equal">
      <formula>"Muy Alta"</formula>
    </cfRule>
    <cfRule type="cellIs" dxfId="709" priority="752" operator="equal">
      <formula>"Alta"</formula>
    </cfRule>
    <cfRule type="cellIs" dxfId="708" priority="753" operator="equal">
      <formula>"Media"</formula>
    </cfRule>
    <cfRule type="cellIs" dxfId="707" priority="754" operator="equal">
      <formula>"Baja"</formula>
    </cfRule>
    <cfRule type="cellIs" dxfId="706" priority="755" operator="equal">
      <formula>"Muy Baja"</formula>
    </cfRule>
  </conditionalFormatting>
  <conditionalFormatting sqref="P39 P41 P46 P43 AE39:AE48">
    <cfRule type="cellIs" dxfId="705" priority="746" operator="equal">
      <formula>"Catastrófico"</formula>
    </cfRule>
    <cfRule type="cellIs" dxfId="704" priority="747" operator="equal">
      <formula>"Mayor"</formula>
    </cfRule>
    <cfRule type="cellIs" dxfId="703" priority="748" operator="equal">
      <formula>"Moderado"</formula>
    </cfRule>
    <cfRule type="cellIs" dxfId="702" priority="749" operator="equal">
      <formula>"Menor"</formula>
    </cfRule>
    <cfRule type="cellIs" dxfId="701" priority="750" operator="equal">
      <formula>"Leve"</formula>
    </cfRule>
  </conditionalFormatting>
  <conditionalFormatting sqref="R39 R41 R46 R43 AG39:AG48">
    <cfRule type="cellIs" dxfId="700" priority="742" operator="equal">
      <formula>"Extremo"</formula>
    </cfRule>
    <cfRule type="cellIs" dxfId="699" priority="743" operator="equal">
      <formula>"Alto"</formula>
    </cfRule>
    <cfRule type="cellIs" dxfId="698" priority="744" operator="equal">
      <formula>"Moderado"</formula>
    </cfRule>
    <cfRule type="cellIs" dxfId="697" priority="745" operator="equal">
      <formula>"Bajo"</formula>
    </cfRule>
  </conditionalFormatting>
  <conditionalFormatting sqref="AC49:AC59">
    <cfRule type="cellIs" dxfId="696" priority="736" operator="equal">
      <formula>"Muy Alta"</formula>
    </cfRule>
    <cfRule type="cellIs" dxfId="695" priority="737" operator="equal">
      <formula>"Alta"</formula>
    </cfRule>
    <cfRule type="cellIs" dxfId="694" priority="738" operator="equal">
      <formula>"Media"</formula>
    </cfRule>
    <cfRule type="cellIs" dxfId="693" priority="739" operator="equal">
      <formula>"Baja"</formula>
    </cfRule>
    <cfRule type="cellIs" dxfId="692" priority="740" operator="equal">
      <formula>"Muy Baja"</formula>
    </cfRule>
  </conditionalFormatting>
  <conditionalFormatting sqref="AE49:AE59">
    <cfRule type="cellIs" dxfId="691" priority="731" operator="equal">
      <formula>"Catastrófico"</formula>
    </cfRule>
    <cfRule type="cellIs" dxfId="690" priority="732" operator="equal">
      <formula>"Mayor"</formula>
    </cfRule>
    <cfRule type="cellIs" dxfId="689" priority="733" operator="equal">
      <formula>"Moderado"</formula>
    </cfRule>
    <cfRule type="cellIs" dxfId="688" priority="734" operator="equal">
      <formula>"Menor"</formula>
    </cfRule>
    <cfRule type="cellIs" dxfId="687" priority="735" operator="equal">
      <formula>"Leve"</formula>
    </cfRule>
  </conditionalFormatting>
  <conditionalFormatting sqref="AG49:AG59">
    <cfRule type="cellIs" dxfId="686" priority="727" operator="equal">
      <formula>"Extremo"</formula>
    </cfRule>
    <cfRule type="cellIs" dxfId="685" priority="728" operator="equal">
      <formula>"Alto"</formula>
    </cfRule>
    <cfRule type="cellIs" dxfId="684" priority="729" operator="equal">
      <formula>"Moderado"</formula>
    </cfRule>
    <cfRule type="cellIs" dxfId="683" priority="730" operator="equal">
      <formula>"Bajo"</formula>
    </cfRule>
  </conditionalFormatting>
  <conditionalFormatting sqref="O51:O52">
    <cfRule type="containsText" dxfId="682" priority="726" operator="containsText" text="❌">
      <formula>NOT(ISERROR(SEARCH("❌",O51)))</formula>
    </cfRule>
  </conditionalFormatting>
  <conditionalFormatting sqref="L49 L63 L51:L56 L60:L61 L58">
    <cfRule type="cellIs" dxfId="681" priority="721" operator="equal">
      <formula>"Muy Alta"</formula>
    </cfRule>
    <cfRule type="cellIs" dxfId="680" priority="722" operator="equal">
      <formula>"Alta"</formula>
    </cfRule>
    <cfRule type="cellIs" dxfId="679" priority="723" operator="equal">
      <formula>"Media"</formula>
    </cfRule>
    <cfRule type="cellIs" dxfId="678" priority="724" operator="equal">
      <formula>"Baja"</formula>
    </cfRule>
    <cfRule type="cellIs" dxfId="677" priority="725" operator="equal">
      <formula>"Muy Baja"</formula>
    </cfRule>
  </conditionalFormatting>
  <conditionalFormatting sqref="P49 P51:P53">
    <cfRule type="cellIs" dxfId="676" priority="716" operator="equal">
      <formula>"Catastrófico"</formula>
    </cfRule>
    <cfRule type="cellIs" dxfId="675" priority="717" operator="equal">
      <formula>"Mayor"</formula>
    </cfRule>
    <cfRule type="cellIs" dxfId="674" priority="718" operator="equal">
      <formula>"Moderado"</formula>
    </cfRule>
    <cfRule type="cellIs" dxfId="673" priority="719" operator="equal">
      <formula>"Menor"</formula>
    </cfRule>
    <cfRule type="cellIs" dxfId="672" priority="720" operator="equal">
      <formula>"Leve"</formula>
    </cfRule>
  </conditionalFormatting>
  <conditionalFormatting sqref="R49 R51:R53">
    <cfRule type="cellIs" dxfId="671" priority="712" operator="equal">
      <formula>"Extremo"</formula>
    </cfRule>
    <cfRule type="cellIs" dxfId="670" priority="713" operator="equal">
      <formula>"Alto"</formula>
    </cfRule>
    <cfRule type="cellIs" dxfId="669" priority="714" operator="equal">
      <formula>"Moderado"</formula>
    </cfRule>
    <cfRule type="cellIs" dxfId="668" priority="715" operator="equal">
      <formula>"Bajo"</formula>
    </cfRule>
  </conditionalFormatting>
  <conditionalFormatting sqref="P56 P60:P61 P58">
    <cfRule type="cellIs" dxfId="667" priority="702" operator="equal">
      <formula>"Catastrófico"</formula>
    </cfRule>
    <cfRule type="cellIs" dxfId="666" priority="703" operator="equal">
      <formula>"Mayor"</formula>
    </cfRule>
    <cfRule type="cellIs" dxfId="665" priority="704" operator="equal">
      <formula>"Moderado"</formula>
    </cfRule>
    <cfRule type="cellIs" dxfId="664" priority="705" operator="equal">
      <formula>"Menor"</formula>
    </cfRule>
    <cfRule type="cellIs" dxfId="663" priority="706" operator="equal">
      <formula>"Leve"</formula>
    </cfRule>
  </conditionalFormatting>
  <conditionalFormatting sqref="R54:R56 R60:R61 R58">
    <cfRule type="cellIs" dxfId="662" priority="698" operator="equal">
      <formula>"Extremo"</formula>
    </cfRule>
    <cfRule type="cellIs" dxfId="661" priority="699" operator="equal">
      <formula>"Alto"</formula>
    </cfRule>
    <cfRule type="cellIs" dxfId="660" priority="700" operator="equal">
      <formula>"Moderado"</formula>
    </cfRule>
    <cfRule type="cellIs" dxfId="659" priority="701" operator="equal">
      <formula>"Bajo"</formula>
    </cfRule>
  </conditionalFormatting>
  <conditionalFormatting sqref="O54:O56 O60:O61 O58">
    <cfRule type="containsText" dxfId="658" priority="697" operator="containsText" text="❌">
      <formula>NOT(ISERROR(SEARCH("❌",O54)))</formula>
    </cfRule>
  </conditionalFormatting>
  <conditionalFormatting sqref="P54">
    <cfRule type="cellIs" dxfId="657" priority="687" operator="equal">
      <formula>"Catastrófico"</formula>
    </cfRule>
    <cfRule type="cellIs" dxfId="656" priority="688" operator="equal">
      <formula>"Mayor"</formula>
    </cfRule>
    <cfRule type="cellIs" dxfId="655" priority="689" operator="equal">
      <formula>"Moderado"</formula>
    </cfRule>
    <cfRule type="cellIs" dxfId="654" priority="690" operator="equal">
      <formula>"Menor"</formula>
    </cfRule>
    <cfRule type="cellIs" dxfId="653" priority="691" operator="equal">
      <formula>"Leve"</formula>
    </cfRule>
  </conditionalFormatting>
  <conditionalFormatting sqref="P55">
    <cfRule type="cellIs" dxfId="652" priority="682" operator="equal">
      <formula>"Catastrófico"</formula>
    </cfRule>
    <cfRule type="cellIs" dxfId="651" priority="683" operator="equal">
      <formula>"Mayor"</formula>
    </cfRule>
    <cfRule type="cellIs" dxfId="650" priority="684" operator="equal">
      <formula>"Moderado"</formula>
    </cfRule>
    <cfRule type="cellIs" dxfId="649" priority="685" operator="equal">
      <formula>"Menor"</formula>
    </cfRule>
    <cfRule type="cellIs" dxfId="648" priority="686" operator="equal">
      <formula>"Leve"</formula>
    </cfRule>
  </conditionalFormatting>
  <conditionalFormatting sqref="AC87:AC88">
    <cfRule type="cellIs" dxfId="647" priority="278" operator="equal">
      <formula>"Muy Alta"</formula>
    </cfRule>
    <cfRule type="cellIs" dxfId="646" priority="279" operator="equal">
      <formula>"Alta"</formula>
    </cfRule>
    <cfRule type="cellIs" dxfId="645" priority="280" operator="equal">
      <formula>"Media"</formula>
    </cfRule>
    <cfRule type="cellIs" dxfId="644" priority="281" operator="equal">
      <formula>"Baja"</formula>
    </cfRule>
    <cfRule type="cellIs" dxfId="643" priority="282" operator="equal">
      <formula>"Muy Baja"</formula>
    </cfRule>
  </conditionalFormatting>
  <conditionalFormatting sqref="O70 O72">
    <cfRule type="containsText" dxfId="642" priority="623" operator="containsText" text="❌">
      <formula>NOT(ISERROR(SEARCH("❌",O70)))</formula>
    </cfRule>
  </conditionalFormatting>
  <conditionalFormatting sqref="L27 AC27:AC28">
    <cfRule type="cellIs" dxfId="641" priority="648" operator="equal">
      <formula>"Muy Alta"</formula>
    </cfRule>
    <cfRule type="cellIs" dxfId="640" priority="649" operator="equal">
      <formula>"Alta"</formula>
    </cfRule>
    <cfRule type="cellIs" dxfId="639" priority="650" operator="equal">
      <formula>"Media"</formula>
    </cfRule>
    <cfRule type="cellIs" dxfId="638" priority="651" operator="equal">
      <formula>"Baja"</formula>
    </cfRule>
    <cfRule type="cellIs" dxfId="637" priority="652" operator="equal">
      <formula>"Muy Baja"</formula>
    </cfRule>
  </conditionalFormatting>
  <conditionalFormatting sqref="P27 AE27:AE28">
    <cfRule type="cellIs" dxfId="636" priority="643" operator="equal">
      <formula>"Catastrófico"</formula>
    </cfRule>
    <cfRule type="cellIs" dxfId="635" priority="644" operator="equal">
      <formula>"Mayor"</formula>
    </cfRule>
    <cfRule type="cellIs" dxfId="634" priority="645" operator="equal">
      <formula>"Moderado"</formula>
    </cfRule>
    <cfRule type="cellIs" dxfId="633" priority="646" operator="equal">
      <formula>"Menor"</formula>
    </cfRule>
    <cfRule type="cellIs" dxfId="632" priority="647" operator="equal">
      <formula>"Leve"</formula>
    </cfRule>
  </conditionalFormatting>
  <conditionalFormatting sqref="R27 AG27:AG28">
    <cfRule type="cellIs" dxfId="631" priority="639" operator="equal">
      <formula>"Extremo"</formula>
    </cfRule>
    <cfRule type="cellIs" dxfId="630" priority="640" operator="equal">
      <formula>"Alto"</formula>
    </cfRule>
    <cfRule type="cellIs" dxfId="629" priority="641" operator="equal">
      <formula>"Moderado"</formula>
    </cfRule>
    <cfRule type="cellIs" dxfId="628" priority="642" operator="equal">
      <formula>"Bajo"</formula>
    </cfRule>
  </conditionalFormatting>
  <conditionalFormatting sqref="O27">
    <cfRule type="containsText" dxfId="627" priority="638" operator="containsText" text="❌">
      <formula>NOT(ISERROR(SEARCH("❌",O27)))</formula>
    </cfRule>
  </conditionalFormatting>
  <conditionalFormatting sqref="L70 L72 AC70:AC73">
    <cfRule type="cellIs" dxfId="626" priority="633" operator="equal">
      <formula>"Muy Alta"</formula>
    </cfRule>
    <cfRule type="cellIs" dxfId="625" priority="634" operator="equal">
      <formula>"Alta"</formula>
    </cfRule>
    <cfRule type="cellIs" dxfId="624" priority="635" operator="equal">
      <formula>"Media"</formula>
    </cfRule>
    <cfRule type="cellIs" dxfId="623" priority="636" operator="equal">
      <formula>"Baja"</formula>
    </cfRule>
    <cfRule type="cellIs" dxfId="622" priority="637" operator="equal">
      <formula>"Muy Baja"</formula>
    </cfRule>
  </conditionalFormatting>
  <conditionalFormatting sqref="P70 AE70:AE73 P72">
    <cfRule type="cellIs" dxfId="621" priority="628" operator="equal">
      <formula>"Catastrófico"</formula>
    </cfRule>
    <cfRule type="cellIs" dxfId="620" priority="629" operator="equal">
      <formula>"Mayor"</formula>
    </cfRule>
    <cfRule type="cellIs" dxfId="619" priority="630" operator="equal">
      <formula>"Moderado"</formula>
    </cfRule>
    <cfRule type="cellIs" dxfId="618" priority="631" operator="equal">
      <formula>"Menor"</formula>
    </cfRule>
    <cfRule type="cellIs" dxfId="617" priority="632" operator="equal">
      <formula>"Leve"</formula>
    </cfRule>
  </conditionalFormatting>
  <conditionalFormatting sqref="R70 R72 AG70:AG73">
    <cfRule type="cellIs" dxfId="616" priority="624" operator="equal">
      <formula>"Extremo"</formula>
    </cfRule>
    <cfRule type="cellIs" dxfId="615" priority="625" operator="equal">
      <formula>"Alto"</formula>
    </cfRule>
    <cfRule type="cellIs" dxfId="614" priority="626" operator="equal">
      <formula>"Moderado"</formula>
    </cfRule>
    <cfRule type="cellIs" dxfId="613" priority="627" operator="equal">
      <formula>"Bajo"</formula>
    </cfRule>
  </conditionalFormatting>
  <conditionalFormatting sqref="O19 O22:O23">
    <cfRule type="containsText" dxfId="612" priority="594" operator="containsText" text="❌">
      <formula>NOT(ISERROR(SEARCH("❌",O19)))</formula>
    </cfRule>
  </conditionalFormatting>
  <conditionalFormatting sqref="L19 AC23">
    <cfRule type="cellIs" dxfId="611" priority="618" operator="equal">
      <formula>"Muy Alta"</formula>
    </cfRule>
    <cfRule type="cellIs" dxfId="610" priority="619" operator="equal">
      <formula>"Alta"</formula>
    </cfRule>
    <cfRule type="cellIs" dxfId="609" priority="620" operator="equal">
      <formula>"Media"</formula>
    </cfRule>
    <cfRule type="cellIs" dxfId="608" priority="621" operator="equal">
      <formula>"Baja"</formula>
    </cfRule>
    <cfRule type="cellIs" dxfId="607" priority="622" operator="equal">
      <formula>"Muy Baja"</formula>
    </cfRule>
  </conditionalFormatting>
  <conditionalFormatting sqref="P19">
    <cfRule type="cellIs" dxfId="606" priority="613" operator="equal">
      <formula>"Catastrófico"</formula>
    </cfRule>
    <cfRule type="cellIs" dxfId="605" priority="614" operator="equal">
      <formula>"Mayor"</formula>
    </cfRule>
    <cfRule type="cellIs" dxfId="604" priority="615" operator="equal">
      <formula>"Moderado"</formula>
    </cfRule>
    <cfRule type="cellIs" dxfId="603" priority="616" operator="equal">
      <formula>"Menor"</formula>
    </cfRule>
    <cfRule type="cellIs" dxfId="602" priority="617" operator="equal">
      <formula>"Leve"</formula>
    </cfRule>
  </conditionalFormatting>
  <conditionalFormatting sqref="R19">
    <cfRule type="cellIs" dxfId="601" priority="609" operator="equal">
      <formula>"Extremo"</formula>
    </cfRule>
    <cfRule type="cellIs" dxfId="600" priority="610" operator="equal">
      <formula>"Alto"</formula>
    </cfRule>
    <cfRule type="cellIs" dxfId="599" priority="611" operator="equal">
      <formula>"Moderado"</formula>
    </cfRule>
    <cfRule type="cellIs" dxfId="598" priority="612" operator="equal">
      <formula>"Bajo"</formula>
    </cfRule>
  </conditionalFormatting>
  <conditionalFormatting sqref="AC19:AC22">
    <cfRule type="cellIs" dxfId="597" priority="604" operator="equal">
      <formula>"Muy Alta"</formula>
    </cfRule>
    <cfRule type="cellIs" dxfId="596" priority="605" operator="equal">
      <formula>"Alta"</formula>
    </cfRule>
    <cfRule type="cellIs" dxfId="595" priority="606" operator="equal">
      <formula>"Media"</formula>
    </cfRule>
    <cfRule type="cellIs" dxfId="594" priority="607" operator="equal">
      <formula>"Baja"</formula>
    </cfRule>
    <cfRule type="cellIs" dxfId="593" priority="608" operator="equal">
      <formula>"Muy Baja"</formula>
    </cfRule>
  </conditionalFormatting>
  <conditionalFormatting sqref="AE19:AE23">
    <cfRule type="cellIs" dxfId="592" priority="599" operator="equal">
      <formula>"Catastrófico"</formula>
    </cfRule>
    <cfRule type="cellIs" dxfId="591" priority="600" operator="equal">
      <formula>"Mayor"</formula>
    </cfRule>
    <cfRule type="cellIs" dxfId="590" priority="601" operator="equal">
      <formula>"Moderado"</formula>
    </cfRule>
    <cfRule type="cellIs" dxfId="589" priority="602" operator="equal">
      <formula>"Menor"</formula>
    </cfRule>
    <cfRule type="cellIs" dxfId="588" priority="603" operator="equal">
      <formula>"Leve"</formula>
    </cfRule>
  </conditionalFormatting>
  <conditionalFormatting sqref="AG19:AG23">
    <cfRule type="cellIs" dxfId="587" priority="595" operator="equal">
      <formula>"Extremo"</formula>
    </cfRule>
    <cfRule type="cellIs" dxfId="586" priority="596" operator="equal">
      <formula>"Alto"</formula>
    </cfRule>
    <cfRule type="cellIs" dxfId="585" priority="597" operator="equal">
      <formula>"Moderado"</formula>
    </cfRule>
    <cfRule type="cellIs" dxfId="584" priority="598" operator="equal">
      <formula>"Bajo"</formula>
    </cfRule>
  </conditionalFormatting>
  <conditionalFormatting sqref="O9 O14 O16">
    <cfRule type="containsText" dxfId="583" priority="593" operator="containsText" text="❌">
      <formula>NOT(ISERROR(SEARCH("❌",O9)))</formula>
    </cfRule>
  </conditionalFormatting>
  <conditionalFormatting sqref="AG9:AG15">
    <cfRule type="cellIs" dxfId="582" priority="589" operator="equal">
      <formula>"Extremo"</formula>
    </cfRule>
    <cfRule type="cellIs" dxfId="581" priority="590" operator="equal">
      <formula>"Alto"</formula>
    </cfRule>
    <cfRule type="cellIs" dxfId="580" priority="591" operator="equal">
      <formula>"Moderado"</formula>
    </cfRule>
    <cfRule type="cellIs" dxfId="579" priority="592" operator="equal">
      <formula>"Bajo"</formula>
    </cfRule>
  </conditionalFormatting>
  <conditionalFormatting sqref="AE9:AE15">
    <cfRule type="cellIs" dxfId="578" priority="584" operator="equal">
      <formula>"Catastrófico"</formula>
    </cfRule>
    <cfRule type="cellIs" dxfId="577" priority="585" operator="equal">
      <formula>"Mayor"</formula>
    </cfRule>
    <cfRule type="cellIs" dxfId="576" priority="586" operator="equal">
      <formula>"Moderado"</formula>
    </cfRule>
    <cfRule type="cellIs" dxfId="575" priority="587" operator="equal">
      <formula>"Menor"</formula>
    </cfRule>
    <cfRule type="cellIs" dxfId="574" priority="588" operator="equal">
      <formula>"Leve"</formula>
    </cfRule>
  </conditionalFormatting>
  <conditionalFormatting sqref="AC9:AC15">
    <cfRule type="cellIs" dxfId="573" priority="579" operator="equal">
      <formula>"Muy Alta"</formula>
    </cfRule>
    <cfRule type="cellIs" dxfId="572" priority="580" operator="equal">
      <formula>"Alta"</formula>
    </cfRule>
    <cfRule type="cellIs" dxfId="571" priority="581" operator="equal">
      <formula>"Media"</formula>
    </cfRule>
    <cfRule type="cellIs" dxfId="570" priority="582" operator="equal">
      <formula>"Baja"</formula>
    </cfRule>
    <cfRule type="cellIs" dxfId="569" priority="583" operator="equal">
      <formula>"Muy Baja"</formula>
    </cfRule>
  </conditionalFormatting>
  <conditionalFormatting sqref="L9 L11:L12 L14">
    <cfRule type="cellIs" dxfId="568" priority="574" operator="equal">
      <formula>"Muy Alta"</formula>
    </cfRule>
    <cfRule type="cellIs" dxfId="567" priority="575" operator="equal">
      <formula>"Alta"</formula>
    </cfRule>
    <cfRule type="cellIs" dxfId="566" priority="576" operator="equal">
      <formula>"Media"</formula>
    </cfRule>
    <cfRule type="cellIs" dxfId="565" priority="577" operator="equal">
      <formula>"Baja"</formula>
    </cfRule>
    <cfRule type="cellIs" dxfId="564" priority="578" operator="equal">
      <formula>"Muy Baja"</formula>
    </cfRule>
  </conditionalFormatting>
  <conditionalFormatting sqref="P9 P16 P11 P14">
    <cfRule type="cellIs" dxfId="563" priority="569" operator="equal">
      <formula>"Catastrófico"</formula>
    </cfRule>
    <cfRule type="cellIs" dxfId="562" priority="570" operator="equal">
      <formula>"Mayor"</formula>
    </cfRule>
    <cfRule type="cellIs" dxfId="561" priority="571" operator="equal">
      <formula>"Moderado"</formula>
    </cfRule>
    <cfRule type="cellIs" dxfId="560" priority="572" operator="equal">
      <formula>"Menor"</formula>
    </cfRule>
    <cfRule type="cellIs" dxfId="559" priority="573" operator="equal">
      <formula>"Leve"</formula>
    </cfRule>
  </conditionalFormatting>
  <conditionalFormatting sqref="R9 R11:R12 R14 R16">
    <cfRule type="cellIs" dxfId="558" priority="565" operator="equal">
      <formula>"Extremo"</formula>
    </cfRule>
    <cfRule type="cellIs" dxfId="557" priority="566" operator="equal">
      <formula>"Alto"</formula>
    </cfRule>
    <cfRule type="cellIs" dxfId="556" priority="567" operator="equal">
      <formula>"Moderado"</formula>
    </cfRule>
    <cfRule type="cellIs" dxfId="555" priority="568" operator="equal">
      <formula>"Bajo"</formula>
    </cfRule>
  </conditionalFormatting>
  <conditionalFormatting sqref="L16">
    <cfRule type="cellIs" dxfId="554" priority="560" operator="equal">
      <formula>"Muy Alta"</formula>
    </cfRule>
    <cfRule type="cellIs" dxfId="553" priority="561" operator="equal">
      <formula>"Alta"</formula>
    </cfRule>
    <cfRule type="cellIs" dxfId="552" priority="562" operator="equal">
      <formula>"Media"</formula>
    </cfRule>
    <cfRule type="cellIs" dxfId="551" priority="563" operator="equal">
      <formula>"Baja"</formula>
    </cfRule>
    <cfRule type="cellIs" dxfId="550" priority="564" operator="equal">
      <formula>"Muy Baja"</formula>
    </cfRule>
  </conditionalFormatting>
  <conditionalFormatting sqref="AC16:AC18">
    <cfRule type="cellIs" dxfId="549" priority="546" operator="equal">
      <formula>"Muy Alta"</formula>
    </cfRule>
    <cfRule type="cellIs" dxfId="548" priority="547" operator="equal">
      <formula>"Alta"</formula>
    </cfRule>
    <cfRule type="cellIs" dxfId="547" priority="548" operator="equal">
      <formula>"Media"</formula>
    </cfRule>
    <cfRule type="cellIs" dxfId="546" priority="549" operator="equal">
      <formula>"Baja"</formula>
    </cfRule>
    <cfRule type="cellIs" dxfId="545" priority="550" operator="equal">
      <formula>"Muy Baja"</formula>
    </cfRule>
  </conditionalFormatting>
  <conditionalFormatting sqref="AE16:AE18">
    <cfRule type="cellIs" dxfId="544" priority="541" operator="equal">
      <formula>"Catastrófico"</formula>
    </cfRule>
    <cfRule type="cellIs" dxfId="543" priority="542" operator="equal">
      <formula>"Mayor"</formula>
    </cfRule>
    <cfRule type="cellIs" dxfId="542" priority="543" operator="equal">
      <formula>"Moderado"</formula>
    </cfRule>
    <cfRule type="cellIs" dxfId="541" priority="544" operator="equal">
      <formula>"Menor"</formula>
    </cfRule>
    <cfRule type="cellIs" dxfId="540" priority="545" operator="equal">
      <formula>"Leve"</formula>
    </cfRule>
  </conditionalFormatting>
  <conditionalFormatting sqref="AG16:AG18">
    <cfRule type="cellIs" dxfId="539" priority="537" operator="equal">
      <formula>"Extremo"</formula>
    </cfRule>
    <cfRule type="cellIs" dxfId="538" priority="538" operator="equal">
      <formula>"Alto"</formula>
    </cfRule>
    <cfRule type="cellIs" dxfId="537" priority="539" operator="equal">
      <formula>"Moderado"</formula>
    </cfRule>
    <cfRule type="cellIs" dxfId="536" priority="540" operator="equal">
      <formula>"Bajo"</formula>
    </cfRule>
  </conditionalFormatting>
  <conditionalFormatting sqref="L22:L23">
    <cfRule type="cellIs" dxfId="535" priority="531" operator="equal">
      <formula>"Muy Alta"</formula>
    </cfRule>
    <cfRule type="cellIs" dxfId="534" priority="532" operator="equal">
      <formula>"Alta"</formula>
    </cfRule>
    <cfRule type="cellIs" dxfId="533" priority="533" operator="equal">
      <formula>"Media"</formula>
    </cfRule>
    <cfRule type="cellIs" dxfId="532" priority="534" operator="equal">
      <formula>"Baja"</formula>
    </cfRule>
    <cfRule type="cellIs" dxfId="531" priority="535" operator="equal">
      <formula>"Muy Baja"</formula>
    </cfRule>
  </conditionalFormatting>
  <conditionalFormatting sqref="P22:P23">
    <cfRule type="cellIs" dxfId="530" priority="526" operator="equal">
      <formula>"Catastrófico"</formula>
    </cfRule>
    <cfRule type="cellIs" dxfId="529" priority="527" operator="equal">
      <formula>"Mayor"</formula>
    </cfRule>
    <cfRule type="cellIs" dxfId="528" priority="528" operator="equal">
      <formula>"Moderado"</formula>
    </cfRule>
    <cfRule type="cellIs" dxfId="527" priority="529" operator="equal">
      <formula>"Menor"</formula>
    </cfRule>
    <cfRule type="cellIs" dxfId="526" priority="530" operator="equal">
      <formula>"Leve"</formula>
    </cfRule>
  </conditionalFormatting>
  <conditionalFormatting sqref="R23">
    <cfRule type="cellIs" dxfId="525" priority="522" operator="equal">
      <formula>"Extremo"</formula>
    </cfRule>
    <cfRule type="cellIs" dxfId="524" priority="523" operator="equal">
      <formula>"Alto"</formula>
    </cfRule>
    <cfRule type="cellIs" dxfId="523" priority="524" operator="equal">
      <formula>"Moderado"</formula>
    </cfRule>
    <cfRule type="cellIs" dxfId="522" priority="525" operator="equal">
      <formula>"Bajo"</formula>
    </cfRule>
  </conditionalFormatting>
  <conditionalFormatting sqref="AC29">
    <cfRule type="cellIs" dxfId="521" priority="517" operator="equal">
      <formula>"Muy Alta"</formula>
    </cfRule>
    <cfRule type="cellIs" dxfId="520" priority="518" operator="equal">
      <formula>"Alta"</formula>
    </cfRule>
    <cfRule type="cellIs" dxfId="519" priority="519" operator="equal">
      <formula>"Media"</formula>
    </cfRule>
    <cfRule type="cellIs" dxfId="518" priority="520" operator="equal">
      <formula>"Baja"</formula>
    </cfRule>
    <cfRule type="cellIs" dxfId="517" priority="521" operator="equal">
      <formula>"Muy Baja"</formula>
    </cfRule>
  </conditionalFormatting>
  <conditionalFormatting sqref="AE29">
    <cfRule type="cellIs" dxfId="516" priority="512" operator="equal">
      <formula>"Catastrófico"</formula>
    </cfRule>
    <cfRule type="cellIs" dxfId="515" priority="513" operator="equal">
      <formula>"Mayor"</formula>
    </cfRule>
    <cfRule type="cellIs" dxfId="514" priority="514" operator="equal">
      <formula>"Moderado"</formula>
    </cfRule>
    <cfRule type="cellIs" dxfId="513" priority="515" operator="equal">
      <formula>"Menor"</formula>
    </cfRule>
    <cfRule type="cellIs" dxfId="512" priority="516" operator="equal">
      <formula>"Leve"</formula>
    </cfRule>
  </conditionalFormatting>
  <conditionalFormatting sqref="AG29">
    <cfRule type="cellIs" dxfId="511" priority="508" operator="equal">
      <formula>"Extremo"</formula>
    </cfRule>
    <cfRule type="cellIs" dxfId="510" priority="509" operator="equal">
      <formula>"Alto"</formula>
    </cfRule>
    <cfRule type="cellIs" dxfId="509" priority="510" operator="equal">
      <formula>"Moderado"</formula>
    </cfRule>
    <cfRule type="cellIs" dxfId="508" priority="511" operator="equal">
      <formula>"Bajo"</formula>
    </cfRule>
  </conditionalFormatting>
  <conditionalFormatting sqref="O29">
    <cfRule type="containsText" dxfId="507" priority="507" operator="containsText" text="❌">
      <formula>NOT(ISERROR(SEARCH("❌",O29)))</formula>
    </cfRule>
  </conditionalFormatting>
  <conditionalFormatting sqref="L29">
    <cfRule type="cellIs" dxfId="506" priority="502" operator="equal">
      <formula>"Muy Alta"</formula>
    </cfRule>
    <cfRule type="cellIs" dxfId="505" priority="503" operator="equal">
      <formula>"Alta"</formula>
    </cfRule>
    <cfRule type="cellIs" dxfId="504" priority="504" operator="equal">
      <formula>"Media"</formula>
    </cfRule>
    <cfRule type="cellIs" dxfId="503" priority="505" operator="equal">
      <formula>"Baja"</formula>
    </cfRule>
    <cfRule type="cellIs" dxfId="502" priority="506" operator="equal">
      <formula>"Muy Baja"</formula>
    </cfRule>
  </conditionalFormatting>
  <conditionalFormatting sqref="R29">
    <cfRule type="cellIs" dxfId="501" priority="493" operator="equal">
      <formula>"Extremo"</formula>
    </cfRule>
    <cfRule type="cellIs" dxfId="500" priority="494" operator="equal">
      <formula>"Alto"</formula>
    </cfRule>
    <cfRule type="cellIs" dxfId="499" priority="495" operator="equal">
      <formula>"Moderado"</formula>
    </cfRule>
    <cfRule type="cellIs" dxfId="498" priority="496" operator="equal">
      <formula>"Bajo"</formula>
    </cfRule>
  </conditionalFormatting>
  <conditionalFormatting sqref="AC30">
    <cfRule type="cellIs" dxfId="497" priority="488" operator="equal">
      <formula>"Muy Alta"</formula>
    </cfRule>
    <cfRule type="cellIs" dxfId="496" priority="489" operator="equal">
      <formula>"Alta"</formula>
    </cfRule>
    <cfRule type="cellIs" dxfId="495" priority="490" operator="equal">
      <formula>"Media"</formula>
    </cfRule>
    <cfRule type="cellIs" dxfId="494" priority="491" operator="equal">
      <formula>"Baja"</formula>
    </cfRule>
    <cfRule type="cellIs" dxfId="493" priority="492" operator="equal">
      <formula>"Muy Baja"</formula>
    </cfRule>
  </conditionalFormatting>
  <conditionalFormatting sqref="AE30">
    <cfRule type="cellIs" dxfId="492" priority="483" operator="equal">
      <formula>"Catastrófico"</formula>
    </cfRule>
    <cfRule type="cellIs" dxfId="491" priority="484" operator="equal">
      <formula>"Mayor"</formula>
    </cfRule>
    <cfRule type="cellIs" dxfId="490" priority="485" operator="equal">
      <formula>"Moderado"</formula>
    </cfRule>
    <cfRule type="cellIs" dxfId="489" priority="486" operator="equal">
      <formula>"Menor"</formula>
    </cfRule>
    <cfRule type="cellIs" dxfId="488" priority="487" operator="equal">
      <formula>"Leve"</formula>
    </cfRule>
  </conditionalFormatting>
  <conditionalFormatting sqref="AG30">
    <cfRule type="cellIs" dxfId="487" priority="479" operator="equal">
      <formula>"Extremo"</formula>
    </cfRule>
    <cfRule type="cellIs" dxfId="486" priority="480" operator="equal">
      <formula>"Alto"</formula>
    </cfRule>
    <cfRule type="cellIs" dxfId="485" priority="481" operator="equal">
      <formula>"Moderado"</formula>
    </cfRule>
    <cfRule type="cellIs" dxfId="484" priority="482" operator="equal">
      <formula>"Bajo"</formula>
    </cfRule>
  </conditionalFormatting>
  <conditionalFormatting sqref="O30">
    <cfRule type="containsText" dxfId="483" priority="478" operator="containsText" text="❌">
      <formula>NOT(ISERROR(SEARCH("❌",O30)))</formula>
    </cfRule>
  </conditionalFormatting>
  <conditionalFormatting sqref="L30">
    <cfRule type="cellIs" dxfId="482" priority="473" operator="equal">
      <formula>"Muy Alta"</formula>
    </cfRule>
    <cfRule type="cellIs" dxfId="481" priority="474" operator="equal">
      <formula>"Alta"</formula>
    </cfRule>
    <cfRule type="cellIs" dxfId="480" priority="475" operator="equal">
      <formula>"Media"</formula>
    </cfRule>
    <cfRule type="cellIs" dxfId="479" priority="476" operator="equal">
      <formula>"Baja"</formula>
    </cfRule>
    <cfRule type="cellIs" dxfId="478" priority="477" operator="equal">
      <formula>"Muy Baja"</formula>
    </cfRule>
  </conditionalFormatting>
  <conditionalFormatting sqref="P29:P30">
    <cfRule type="cellIs" dxfId="477" priority="468" operator="equal">
      <formula>"Catastrófico"</formula>
    </cfRule>
    <cfRule type="cellIs" dxfId="476" priority="469" operator="equal">
      <formula>"Mayor"</formula>
    </cfRule>
    <cfRule type="cellIs" dxfId="475" priority="470" operator="equal">
      <formula>"Moderado"</formula>
    </cfRule>
    <cfRule type="cellIs" dxfId="474" priority="471" operator="equal">
      <formula>"Menor"</formula>
    </cfRule>
    <cfRule type="cellIs" dxfId="473" priority="472" operator="equal">
      <formula>"Leve"</formula>
    </cfRule>
  </conditionalFormatting>
  <conditionalFormatting sqref="R30">
    <cfRule type="cellIs" dxfId="472" priority="464" operator="equal">
      <formula>"Extremo"</formula>
    </cfRule>
    <cfRule type="cellIs" dxfId="471" priority="465" operator="equal">
      <formula>"Alto"</formula>
    </cfRule>
    <cfRule type="cellIs" dxfId="470" priority="466" operator="equal">
      <formula>"Moderado"</formula>
    </cfRule>
    <cfRule type="cellIs" dxfId="469" priority="467" operator="equal">
      <formula>"Bajo"</formula>
    </cfRule>
  </conditionalFormatting>
  <conditionalFormatting sqref="O33">
    <cfRule type="containsText" dxfId="468" priority="463" operator="containsText" text="❌">
      <formula>NOT(ISERROR(SEARCH("❌",O33)))</formula>
    </cfRule>
  </conditionalFormatting>
  <conditionalFormatting sqref="AG33:AG34">
    <cfRule type="cellIs" dxfId="467" priority="459" operator="equal">
      <formula>"Extremo"</formula>
    </cfRule>
    <cfRule type="cellIs" dxfId="466" priority="460" operator="equal">
      <formula>"Alto"</formula>
    </cfRule>
    <cfRule type="cellIs" dxfId="465" priority="461" operator="equal">
      <formula>"Moderado"</formula>
    </cfRule>
    <cfRule type="cellIs" dxfId="464" priority="462" operator="equal">
      <formula>"Bajo"</formula>
    </cfRule>
  </conditionalFormatting>
  <conditionalFormatting sqref="AE33:AE34">
    <cfRule type="cellIs" dxfId="463" priority="454" operator="equal">
      <formula>"Catastrófico"</formula>
    </cfRule>
    <cfRule type="cellIs" dxfId="462" priority="455" operator="equal">
      <formula>"Mayor"</formula>
    </cfRule>
    <cfRule type="cellIs" dxfId="461" priority="456" operator="equal">
      <formula>"Moderado"</formula>
    </cfRule>
    <cfRule type="cellIs" dxfId="460" priority="457" operator="equal">
      <formula>"Menor"</formula>
    </cfRule>
    <cfRule type="cellIs" dxfId="459" priority="458" operator="equal">
      <formula>"Leve"</formula>
    </cfRule>
  </conditionalFormatting>
  <conditionalFormatting sqref="AC33:AC34">
    <cfRule type="cellIs" dxfId="458" priority="449" operator="equal">
      <formula>"Muy Alta"</formula>
    </cfRule>
    <cfRule type="cellIs" dxfId="457" priority="450" operator="equal">
      <formula>"Alta"</formula>
    </cfRule>
    <cfRule type="cellIs" dxfId="456" priority="451" operator="equal">
      <formula>"Media"</formula>
    </cfRule>
    <cfRule type="cellIs" dxfId="455" priority="452" operator="equal">
      <formula>"Baja"</formula>
    </cfRule>
    <cfRule type="cellIs" dxfId="454" priority="453" operator="equal">
      <formula>"Muy Baja"</formula>
    </cfRule>
  </conditionalFormatting>
  <conditionalFormatting sqref="L33">
    <cfRule type="cellIs" dxfId="453" priority="444" operator="equal">
      <formula>"Muy Alta"</formula>
    </cfRule>
    <cfRule type="cellIs" dxfId="452" priority="445" operator="equal">
      <formula>"Alta"</formula>
    </cfRule>
    <cfRule type="cellIs" dxfId="451" priority="446" operator="equal">
      <formula>"Media"</formula>
    </cfRule>
    <cfRule type="cellIs" dxfId="450" priority="447" operator="equal">
      <formula>"Baja"</formula>
    </cfRule>
    <cfRule type="cellIs" dxfId="449" priority="448" operator="equal">
      <formula>"Muy Baja"</formula>
    </cfRule>
  </conditionalFormatting>
  <conditionalFormatting sqref="P33">
    <cfRule type="cellIs" dxfId="448" priority="439" operator="equal">
      <formula>"Catastrófico"</formula>
    </cfRule>
    <cfRule type="cellIs" dxfId="447" priority="440" operator="equal">
      <formula>"Mayor"</formula>
    </cfRule>
    <cfRule type="cellIs" dxfId="446" priority="441" operator="equal">
      <formula>"Moderado"</formula>
    </cfRule>
    <cfRule type="cellIs" dxfId="445" priority="442" operator="equal">
      <formula>"Menor"</formula>
    </cfRule>
    <cfRule type="cellIs" dxfId="444" priority="443" operator="equal">
      <formula>"Leve"</formula>
    </cfRule>
  </conditionalFormatting>
  <conditionalFormatting sqref="R33">
    <cfRule type="cellIs" dxfId="443" priority="435" operator="equal">
      <formula>"Extremo"</formula>
    </cfRule>
    <cfRule type="cellIs" dxfId="442" priority="436" operator="equal">
      <formula>"Alto"</formula>
    </cfRule>
    <cfRule type="cellIs" dxfId="441" priority="437" operator="equal">
      <formula>"Moderado"</formula>
    </cfRule>
    <cfRule type="cellIs" dxfId="440" priority="438" operator="equal">
      <formula>"Bajo"</formula>
    </cfRule>
  </conditionalFormatting>
  <conditionalFormatting sqref="O37">
    <cfRule type="containsText" dxfId="439" priority="434" operator="containsText" text="❌">
      <formula>NOT(ISERROR(SEARCH("❌",O37)))</formula>
    </cfRule>
  </conditionalFormatting>
  <conditionalFormatting sqref="AG37:AG38">
    <cfRule type="cellIs" dxfId="438" priority="430" operator="equal">
      <formula>"Extremo"</formula>
    </cfRule>
    <cfRule type="cellIs" dxfId="437" priority="431" operator="equal">
      <formula>"Alto"</formula>
    </cfRule>
    <cfRule type="cellIs" dxfId="436" priority="432" operator="equal">
      <formula>"Moderado"</formula>
    </cfRule>
    <cfRule type="cellIs" dxfId="435" priority="433" operator="equal">
      <formula>"Bajo"</formula>
    </cfRule>
  </conditionalFormatting>
  <conditionalFormatting sqref="AE37:AE38">
    <cfRule type="cellIs" dxfId="434" priority="425" operator="equal">
      <formula>"Catastrófico"</formula>
    </cfRule>
    <cfRule type="cellIs" dxfId="433" priority="426" operator="equal">
      <formula>"Mayor"</formula>
    </cfRule>
    <cfRule type="cellIs" dxfId="432" priority="427" operator="equal">
      <formula>"Moderado"</formula>
    </cfRule>
    <cfRule type="cellIs" dxfId="431" priority="428" operator="equal">
      <formula>"Menor"</formula>
    </cfRule>
    <cfRule type="cellIs" dxfId="430" priority="429" operator="equal">
      <formula>"Leve"</formula>
    </cfRule>
  </conditionalFormatting>
  <conditionalFormatting sqref="AC37:AC38">
    <cfRule type="cellIs" dxfId="429" priority="420" operator="equal">
      <formula>"Muy Alta"</formula>
    </cfRule>
    <cfRule type="cellIs" dxfId="428" priority="421" operator="equal">
      <formula>"Alta"</formula>
    </cfRule>
    <cfRule type="cellIs" dxfId="427" priority="422" operator="equal">
      <formula>"Media"</formula>
    </cfRule>
    <cfRule type="cellIs" dxfId="426" priority="423" operator="equal">
      <formula>"Baja"</formula>
    </cfRule>
    <cfRule type="cellIs" dxfId="425" priority="424" operator="equal">
      <formula>"Muy Baja"</formula>
    </cfRule>
  </conditionalFormatting>
  <conditionalFormatting sqref="L37">
    <cfRule type="cellIs" dxfId="424" priority="415" operator="equal">
      <formula>"Muy Alta"</formula>
    </cfRule>
    <cfRule type="cellIs" dxfId="423" priority="416" operator="equal">
      <formula>"Alta"</formula>
    </cfRule>
    <cfRule type="cellIs" dxfId="422" priority="417" operator="equal">
      <formula>"Media"</formula>
    </cfRule>
    <cfRule type="cellIs" dxfId="421" priority="418" operator="equal">
      <formula>"Baja"</formula>
    </cfRule>
    <cfRule type="cellIs" dxfId="420" priority="419" operator="equal">
      <formula>"Muy Baja"</formula>
    </cfRule>
  </conditionalFormatting>
  <conditionalFormatting sqref="P37">
    <cfRule type="cellIs" dxfId="419" priority="410" operator="equal">
      <formula>"Catastrófico"</formula>
    </cfRule>
    <cfRule type="cellIs" dxfId="418" priority="411" operator="equal">
      <formula>"Mayor"</formula>
    </cfRule>
    <cfRule type="cellIs" dxfId="417" priority="412" operator="equal">
      <formula>"Moderado"</formula>
    </cfRule>
    <cfRule type="cellIs" dxfId="416" priority="413" operator="equal">
      <formula>"Menor"</formula>
    </cfRule>
    <cfRule type="cellIs" dxfId="415" priority="414" operator="equal">
      <formula>"Leve"</formula>
    </cfRule>
  </conditionalFormatting>
  <conditionalFormatting sqref="R37">
    <cfRule type="cellIs" dxfId="414" priority="406" operator="equal">
      <formula>"Extremo"</formula>
    </cfRule>
    <cfRule type="cellIs" dxfId="413" priority="407" operator="equal">
      <formula>"Alto"</formula>
    </cfRule>
    <cfRule type="cellIs" dxfId="412" priority="408" operator="equal">
      <formula>"Moderado"</formula>
    </cfRule>
    <cfRule type="cellIs" dxfId="411" priority="409" operator="equal">
      <formula>"Bajo"</formula>
    </cfRule>
  </conditionalFormatting>
  <conditionalFormatting sqref="O74">
    <cfRule type="containsText" dxfId="410" priority="405" operator="containsText" text="❌">
      <formula>NOT(ISERROR(SEARCH("❌",O74)))</formula>
    </cfRule>
  </conditionalFormatting>
  <conditionalFormatting sqref="L74">
    <cfRule type="cellIs" dxfId="409" priority="400" operator="equal">
      <formula>"Muy Alta"</formula>
    </cfRule>
    <cfRule type="cellIs" dxfId="408" priority="401" operator="equal">
      <formula>"Alta"</formula>
    </cfRule>
    <cfRule type="cellIs" dxfId="407" priority="402" operator="equal">
      <formula>"Media"</formula>
    </cfRule>
    <cfRule type="cellIs" dxfId="406" priority="403" operator="equal">
      <formula>"Baja"</formula>
    </cfRule>
    <cfRule type="cellIs" dxfId="405" priority="404" operator="equal">
      <formula>"Muy Baja"</formula>
    </cfRule>
  </conditionalFormatting>
  <conditionalFormatting sqref="P74">
    <cfRule type="cellIs" dxfId="404" priority="395" operator="equal">
      <formula>"Catastrófico"</formula>
    </cfRule>
    <cfRule type="cellIs" dxfId="403" priority="396" operator="equal">
      <formula>"Mayor"</formula>
    </cfRule>
    <cfRule type="cellIs" dxfId="402" priority="397" operator="equal">
      <formula>"Moderado"</formula>
    </cfRule>
    <cfRule type="cellIs" dxfId="401" priority="398" operator="equal">
      <formula>"Menor"</formula>
    </cfRule>
    <cfRule type="cellIs" dxfId="400" priority="399" operator="equal">
      <formula>"Leve"</formula>
    </cfRule>
  </conditionalFormatting>
  <conditionalFormatting sqref="R74">
    <cfRule type="cellIs" dxfId="399" priority="391" operator="equal">
      <formula>"Extremo"</formula>
    </cfRule>
    <cfRule type="cellIs" dxfId="398" priority="392" operator="equal">
      <formula>"Alto"</formula>
    </cfRule>
    <cfRule type="cellIs" dxfId="397" priority="393" operator="equal">
      <formula>"Moderado"</formula>
    </cfRule>
    <cfRule type="cellIs" dxfId="396" priority="394" operator="equal">
      <formula>"Bajo"</formula>
    </cfRule>
  </conditionalFormatting>
  <conditionalFormatting sqref="AG74:AG75">
    <cfRule type="cellIs" dxfId="395" priority="387" operator="equal">
      <formula>"Extremo"</formula>
    </cfRule>
    <cfRule type="cellIs" dxfId="394" priority="388" operator="equal">
      <formula>"Alto"</formula>
    </cfRule>
    <cfRule type="cellIs" dxfId="393" priority="389" operator="equal">
      <formula>"Moderado"</formula>
    </cfRule>
    <cfRule type="cellIs" dxfId="392" priority="390" operator="equal">
      <formula>"Bajo"</formula>
    </cfRule>
  </conditionalFormatting>
  <conditionalFormatting sqref="AE74:AE75">
    <cfRule type="cellIs" dxfId="391" priority="382" operator="equal">
      <formula>"Catastrófico"</formula>
    </cfRule>
    <cfRule type="cellIs" dxfId="390" priority="383" operator="equal">
      <formula>"Mayor"</formula>
    </cfRule>
    <cfRule type="cellIs" dxfId="389" priority="384" operator="equal">
      <formula>"Moderado"</formula>
    </cfRule>
    <cfRule type="cellIs" dxfId="388" priority="385" operator="equal">
      <formula>"Menor"</formula>
    </cfRule>
    <cfRule type="cellIs" dxfId="387" priority="386" operator="equal">
      <formula>"Leve"</formula>
    </cfRule>
  </conditionalFormatting>
  <conditionalFormatting sqref="AC74:AC75">
    <cfRule type="cellIs" dxfId="386" priority="377" operator="equal">
      <formula>"Muy Alta"</formula>
    </cfRule>
    <cfRule type="cellIs" dxfId="385" priority="378" operator="equal">
      <formula>"Alta"</formula>
    </cfRule>
    <cfRule type="cellIs" dxfId="384" priority="379" operator="equal">
      <formula>"Media"</formula>
    </cfRule>
    <cfRule type="cellIs" dxfId="383" priority="380" operator="equal">
      <formula>"Baja"</formula>
    </cfRule>
    <cfRule type="cellIs" dxfId="382" priority="381" operator="equal">
      <formula>"Muy Baja"</formula>
    </cfRule>
  </conditionalFormatting>
  <conditionalFormatting sqref="L76 L78 AC76:AC79">
    <cfRule type="cellIs" dxfId="381" priority="372" operator="equal">
      <formula>"Muy Alta"</formula>
    </cfRule>
    <cfRule type="cellIs" dxfId="380" priority="373" operator="equal">
      <formula>"Alta"</formula>
    </cfRule>
    <cfRule type="cellIs" dxfId="379" priority="374" operator="equal">
      <formula>"Media"</formula>
    </cfRule>
    <cfRule type="cellIs" dxfId="378" priority="375" operator="equal">
      <formula>"Baja"</formula>
    </cfRule>
    <cfRule type="cellIs" dxfId="377" priority="376" operator="equal">
      <formula>"Muy Baja"</formula>
    </cfRule>
  </conditionalFormatting>
  <conditionalFormatting sqref="P76 P78 AE76:AE79">
    <cfRule type="cellIs" dxfId="376" priority="367" operator="equal">
      <formula>"Catastrófico"</formula>
    </cfRule>
    <cfRule type="cellIs" dxfId="375" priority="368" operator="equal">
      <formula>"Mayor"</formula>
    </cfRule>
    <cfRule type="cellIs" dxfId="374" priority="369" operator="equal">
      <formula>"Moderado"</formula>
    </cfRule>
    <cfRule type="cellIs" dxfId="373" priority="370" operator="equal">
      <formula>"Menor"</formula>
    </cfRule>
    <cfRule type="cellIs" dxfId="372" priority="371" operator="equal">
      <formula>"Leve"</formula>
    </cfRule>
  </conditionalFormatting>
  <conditionalFormatting sqref="R76 R78 AG76:AG79">
    <cfRule type="cellIs" dxfId="371" priority="363" operator="equal">
      <formula>"Extremo"</formula>
    </cfRule>
    <cfRule type="cellIs" dxfId="370" priority="364" operator="equal">
      <formula>"Alto"</formula>
    </cfRule>
    <cfRule type="cellIs" dxfId="369" priority="365" operator="equal">
      <formula>"Moderado"</formula>
    </cfRule>
    <cfRule type="cellIs" dxfId="368" priority="366" operator="equal">
      <formula>"Bajo"</formula>
    </cfRule>
  </conditionalFormatting>
  <conditionalFormatting sqref="O76:O79">
    <cfRule type="containsText" dxfId="367" priority="362" operator="containsText" text="❌">
      <formula>NOT(ISERROR(SEARCH("❌",O76)))</formula>
    </cfRule>
  </conditionalFormatting>
  <conditionalFormatting sqref="L80">
    <cfRule type="cellIs" dxfId="366" priority="357" operator="equal">
      <formula>"Muy Alta"</formula>
    </cfRule>
    <cfRule type="cellIs" dxfId="365" priority="358" operator="equal">
      <formula>"Alta"</formula>
    </cfRule>
    <cfRule type="cellIs" dxfId="364" priority="359" operator="equal">
      <formula>"Media"</formula>
    </cfRule>
    <cfRule type="cellIs" dxfId="363" priority="360" operator="equal">
      <formula>"Baja"</formula>
    </cfRule>
    <cfRule type="cellIs" dxfId="362" priority="361" operator="equal">
      <formula>"Muy Baja"</formula>
    </cfRule>
  </conditionalFormatting>
  <conditionalFormatting sqref="P80">
    <cfRule type="cellIs" dxfId="361" priority="352" operator="equal">
      <formula>"Catastrófico"</formula>
    </cfRule>
    <cfRule type="cellIs" dxfId="360" priority="353" operator="equal">
      <formula>"Mayor"</formula>
    </cfRule>
    <cfRule type="cellIs" dxfId="359" priority="354" operator="equal">
      <formula>"Moderado"</formula>
    </cfRule>
    <cfRule type="cellIs" dxfId="358" priority="355" operator="equal">
      <formula>"Menor"</formula>
    </cfRule>
    <cfRule type="cellIs" dxfId="357" priority="356" operator="equal">
      <formula>"Leve"</formula>
    </cfRule>
  </conditionalFormatting>
  <conditionalFormatting sqref="R80">
    <cfRule type="cellIs" dxfId="356" priority="348" operator="equal">
      <formula>"Extremo"</formula>
    </cfRule>
    <cfRule type="cellIs" dxfId="355" priority="349" operator="equal">
      <formula>"Alto"</formula>
    </cfRule>
    <cfRule type="cellIs" dxfId="354" priority="350" operator="equal">
      <formula>"Moderado"</formula>
    </cfRule>
    <cfRule type="cellIs" dxfId="353" priority="351" operator="equal">
      <formula>"Bajo"</formula>
    </cfRule>
  </conditionalFormatting>
  <conditionalFormatting sqref="AC80:AC85">
    <cfRule type="cellIs" dxfId="352" priority="343" operator="equal">
      <formula>"Muy Alta"</formula>
    </cfRule>
    <cfRule type="cellIs" dxfId="351" priority="344" operator="equal">
      <formula>"Alta"</formula>
    </cfRule>
    <cfRule type="cellIs" dxfId="350" priority="345" operator="equal">
      <formula>"Media"</formula>
    </cfRule>
    <cfRule type="cellIs" dxfId="349" priority="346" operator="equal">
      <formula>"Baja"</formula>
    </cfRule>
    <cfRule type="cellIs" dxfId="348" priority="347" operator="equal">
      <formula>"Muy Baja"</formula>
    </cfRule>
  </conditionalFormatting>
  <conditionalFormatting sqref="AE80:AE85">
    <cfRule type="cellIs" dxfId="347" priority="338" operator="equal">
      <formula>"Catastrófico"</formula>
    </cfRule>
    <cfRule type="cellIs" dxfId="346" priority="339" operator="equal">
      <formula>"Mayor"</formula>
    </cfRule>
    <cfRule type="cellIs" dxfId="345" priority="340" operator="equal">
      <formula>"Moderado"</formula>
    </cfRule>
    <cfRule type="cellIs" dxfId="344" priority="341" operator="equal">
      <formula>"Menor"</formula>
    </cfRule>
    <cfRule type="cellIs" dxfId="343" priority="342" operator="equal">
      <formula>"Leve"</formula>
    </cfRule>
  </conditionalFormatting>
  <conditionalFormatting sqref="AG80:AG85">
    <cfRule type="cellIs" dxfId="342" priority="334" operator="equal">
      <formula>"Extremo"</formula>
    </cfRule>
    <cfRule type="cellIs" dxfId="341" priority="335" operator="equal">
      <formula>"Alto"</formula>
    </cfRule>
    <cfRule type="cellIs" dxfId="340" priority="336" operator="equal">
      <formula>"Moderado"</formula>
    </cfRule>
    <cfRule type="cellIs" dxfId="339" priority="337" operator="equal">
      <formula>"Bajo"</formula>
    </cfRule>
  </conditionalFormatting>
  <conditionalFormatting sqref="L86">
    <cfRule type="cellIs" dxfId="338" priority="329" operator="equal">
      <formula>"Muy Alta"</formula>
    </cfRule>
    <cfRule type="cellIs" dxfId="337" priority="330" operator="equal">
      <formula>"Alta"</formula>
    </cfRule>
    <cfRule type="cellIs" dxfId="336" priority="331" operator="equal">
      <formula>"Media"</formula>
    </cfRule>
    <cfRule type="cellIs" dxfId="335" priority="332" operator="equal">
      <formula>"Baja"</formula>
    </cfRule>
    <cfRule type="cellIs" dxfId="334" priority="333" operator="equal">
      <formula>"Muy Baja"</formula>
    </cfRule>
  </conditionalFormatting>
  <conditionalFormatting sqref="P86">
    <cfRule type="cellIs" dxfId="333" priority="324" operator="equal">
      <formula>"Catastrófico"</formula>
    </cfRule>
    <cfRule type="cellIs" dxfId="332" priority="325" operator="equal">
      <formula>"Mayor"</formula>
    </cfRule>
    <cfRule type="cellIs" dxfId="331" priority="326" operator="equal">
      <formula>"Moderado"</formula>
    </cfRule>
    <cfRule type="cellIs" dxfId="330" priority="327" operator="equal">
      <formula>"Menor"</formula>
    </cfRule>
    <cfRule type="cellIs" dxfId="329" priority="328" operator="equal">
      <formula>"Leve"</formula>
    </cfRule>
  </conditionalFormatting>
  <conditionalFormatting sqref="R86">
    <cfRule type="cellIs" dxfId="328" priority="320" operator="equal">
      <formula>"Extremo"</formula>
    </cfRule>
    <cfRule type="cellIs" dxfId="327" priority="321" operator="equal">
      <formula>"Alto"</formula>
    </cfRule>
    <cfRule type="cellIs" dxfId="326" priority="322" operator="equal">
      <formula>"Moderado"</formula>
    </cfRule>
    <cfRule type="cellIs" dxfId="325" priority="323" operator="equal">
      <formula>"Bajo"</formula>
    </cfRule>
  </conditionalFormatting>
  <conditionalFormatting sqref="AG86">
    <cfRule type="cellIs" dxfId="324" priority="316" operator="equal">
      <formula>"Extremo"</formula>
    </cfRule>
    <cfRule type="cellIs" dxfId="323" priority="317" operator="equal">
      <formula>"Alto"</formula>
    </cfRule>
    <cfRule type="cellIs" dxfId="322" priority="318" operator="equal">
      <formula>"Moderado"</formula>
    </cfRule>
    <cfRule type="cellIs" dxfId="321" priority="319" operator="equal">
      <formula>"Bajo"</formula>
    </cfRule>
  </conditionalFormatting>
  <conditionalFormatting sqref="AE86">
    <cfRule type="cellIs" dxfId="320" priority="311" operator="equal">
      <formula>"Catastrófico"</formula>
    </cfRule>
    <cfRule type="cellIs" dxfId="319" priority="312" operator="equal">
      <formula>"Mayor"</formula>
    </cfRule>
    <cfRule type="cellIs" dxfId="318" priority="313" operator="equal">
      <formula>"Moderado"</formula>
    </cfRule>
    <cfRule type="cellIs" dxfId="317" priority="314" operator="equal">
      <formula>"Menor"</formula>
    </cfRule>
    <cfRule type="cellIs" dxfId="316" priority="315" operator="equal">
      <formula>"Leve"</formula>
    </cfRule>
  </conditionalFormatting>
  <conditionalFormatting sqref="AC86">
    <cfRule type="cellIs" dxfId="315" priority="306" operator="equal">
      <formula>"Muy Alta"</formula>
    </cfRule>
    <cfRule type="cellIs" dxfId="314" priority="307" operator="equal">
      <formula>"Alta"</formula>
    </cfRule>
    <cfRule type="cellIs" dxfId="313" priority="308" operator="equal">
      <formula>"Media"</formula>
    </cfRule>
    <cfRule type="cellIs" dxfId="312" priority="309" operator="equal">
      <formula>"Baja"</formula>
    </cfRule>
    <cfRule type="cellIs" dxfId="311" priority="310" operator="equal">
      <formula>"Muy Baja"</formula>
    </cfRule>
  </conditionalFormatting>
  <conditionalFormatting sqref="L87:L88">
    <cfRule type="cellIs" dxfId="310" priority="301" operator="equal">
      <formula>"Muy Alta"</formula>
    </cfRule>
    <cfRule type="cellIs" dxfId="309" priority="302" operator="equal">
      <formula>"Alta"</formula>
    </cfRule>
    <cfRule type="cellIs" dxfId="308" priority="303" operator="equal">
      <formula>"Media"</formula>
    </cfRule>
    <cfRule type="cellIs" dxfId="307" priority="304" operator="equal">
      <formula>"Baja"</formula>
    </cfRule>
    <cfRule type="cellIs" dxfId="306" priority="305" operator="equal">
      <formula>"Muy Baja"</formula>
    </cfRule>
  </conditionalFormatting>
  <conditionalFormatting sqref="P87:P88">
    <cfRule type="cellIs" dxfId="305" priority="296" operator="equal">
      <formula>"Catastrófico"</formula>
    </cfRule>
    <cfRule type="cellIs" dxfId="304" priority="297" operator="equal">
      <formula>"Mayor"</formula>
    </cfRule>
    <cfRule type="cellIs" dxfId="303" priority="298" operator="equal">
      <formula>"Moderado"</formula>
    </cfRule>
    <cfRule type="cellIs" dxfId="302" priority="299" operator="equal">
      <formula>"Menor"</formula>
    </cfRule>
    <cfRule type="cellIs" dxfId="301" priority="300" operator="equal">
      <formula>"Leve"</formula>
    </cfRule>
  </conditionalFormatting>
  <conditionalFormatting sqref="R87:R88">
    <cfRule type="cellIs" dxfId="300" priority="292" operator="equal">
      <formula>"Extremo"</formula>
    </cfRule>
    <cfRule type="cellIs" dxfId="299" priority="293" operator="equal">
      <formula>"Alto"</formula>
    </cfRule>
    <cfRule type="cellIs" dxfId="298" priority="294" operator="equal">
      <formula>"Moderado"</formula>
    </cfRule>
    <cfRule type="cellIs" dxfId="297" priority="295" operator="equal">
      <formula>"Bajo"</formula>
    </cfRule>
  </conditionalFormatting>
  <conditionalFormatting sqref="AG87:AG88">
    <cfRule type="cellIs" dxfId="296" priority="288" operator="equal">
      <formula>"Extremo"</formula>
    </cfRule>
    <cfRule type="cellIs" dxfId="295" priority="289" operator="equal">
      <formula>"Alto"</formula>
    </cfRule>
    <cfRule type="cellIs" dxfId="294" priority="290" operator="equal">
      <formula>"Moderado"</formula>
    </cfRule>
    <cfRule type="cellIs" dxfId="293" priority="291" operator="equal">
      <formula>"Bajo"</formula>
    </cfRule>
  </conditionalFormatting>
  <conditionalFormatting sqref="AE87:AE88">
    <cfRule type="cellIs" dxfId="292" priority="283" operator="equal">
      <formula>"Catastrófico"</formula>
    </cfRule>
    <cfRule type="cellIs" dxfId="291" priority="284" operator="equal">
      <formula>"Mayor"</formula>
    </cfRule>
    <cfRule type="cellIs" dxfId="290" priority="285" operator="equal">
      <formula>"Moderado"</formula>
    </cfRule>
    <cfRule type="cellIs" dxfId="289" priority="286" operator="equal">
      <formula>"Menor"</formula>
    </cfRule>
    <cfRule type="cellIs" dxfId="288" priority="287" operator="equal">
      <formula>"Leve"</formula>
    </cfRule>
  </conditionalFormatting>
  <conditionalFormatting sqref="O24">
    <cfRule type="containsText" dxfId="287" priority="277" operator="containsText" text="❌">
      <formula>NOT(ISERROR(SEARCH("❌",O24)))</formula>
    </cfRule>
  </conditionalFormatting>
  <conditionalFormatting sqref="AG24:AG26">
    <cfRule type="cellIs" dxfId="286" priority="273" operator="equal">
      <formula>"Extremo"</formula>
    </cfRule>
    <cfRule type="cellIs" dxfId="285" priority="274" operator="equal">
      <formula>"Alto"</formula>
    </cfRule>
    <cfRule type="cellIs" dxfId="284" priority="275" operator="equal">
      <formula>"Moderado"</formula>
    </cfRule>
    <cfRule type="cellIs" dxfId="283" priority="276" operator="equal">
      <formula>"Bajo"</formula>
    </cfRule>
  </conditionalFormatting>
  <conditionalFormatting sqref="AE24:AE26">
    <cfRule type="cellIs" dxfId="282" priority="268" operator="equal">
      <formula>"Catastrófico"</formula>
    </cfRule>
    <cfRule type="cellIs" dxfId="281" priority="269" operator="equal">
      <formula>"Mayor"</formula>
    </cfRule>
    <cfRule type="cellIs" dxfId="280" priority="270" operator="equal">
      <formula>"Moderado"</formula>
    </cfRule>
    <cfRule type="cellIs" dxfId="279" priority="271" operator="equal">
      <formula>"Menor"</formula>
    </cfRule>
    <cfRule type="cellIs" dxfId="278" priority="272" operator="equal">
      <formula>"Leve"</formula>
    </cfRule>
  </conditionalFormatting>
  <conditionalFormatting sqref="AC24:AC26">
    <cfRule type="cellIs" dxfId="277" priority="263" operator="equal">
      <formula>"Muy Alta"</formula>
    </cfRule>
    <cfRule type="cellIs" dxfId="276" priority="264" operator="equal">
      <formula>"Alta"</formula>
    </cfRule>
    <cfRule type="cellIs" dxfId="275" priority="265" operator="equal">
      <formula>"Media"</formula>
    </cfRule>
    <cfRule type="cellIs" dxfId="274" priority="266" operator="equal">
      <formula>"Baja"</formula>
    </cfRule>
    <cfRule type="cellIs" dxfId="273" priority="267" operator="equal">
      <formula>"Muy Baja"</formula>
    </cfRule>
  </conditionalFormatting>
  <conditionalFormatting sqref="L24">
    <cfRule type="cellIs" dxfId="272" priority="258" operator="equal">
      <formula>"Muy Alta"</formula>
    </cfRule>
    <cfRule type="cellIs" dxfId="271" priority="259" operator="equal">
      <formula>"Alta"</formula>
    </cfRule>
    <cfRule type="cellIs" dxfId="270" priority="260" operator="equal">
      <formula>"Media"</formula>
    </cfRule>
    <cfRule type="cellIs" dxfId="269" priority="261" operator="equal">
      <formula>"Baja"</formula>
    </cfRule>
    <cfRule type="cellIs" dxfId="268" priority="262" operator="equal">
      <formula>"Muy Baja"</formula>
    </cfRule>
  </conditionalFormatting>
  <conditionalFormatting sqref="P24">
    <cfRule type="cellIs" dxfId="267" priority="253" operator="equal">
      <formula>"Catastrófico"</formula>
    </cfRule>
    <cfRule type="cellIs" dxfId="266" priority="254" operator="equal">
      <formula>"Mayor"</formula>
    </cfRule>
    <cfRule type="cellIs" dxfId="265" priority="255" operator="equal">
      <formula>"Moderado"</formula>
    </cfRule>
    <cfRule type="cellIs" dxfId="264" priority="256" operator="equal">
      <formula>"Menor"</formula>
    </cfRule>
    <cfRule type="cellIs" dxfId="263" priority="257" operator="equal">
      <formula>"Leve"</formula>
    </cfRule>
  </conditionalFormatting>
  <conditionalFormatting sqref="R24">
    <cfRule type="cellIs" dxfId="262" priority="249" operator="equal">
      <formula>"Extremo"</formula>
    </cfRule>
    <cfRule type="cellIs" dxfId="261" priority="250" operator="equal">
      <formula>"Alto"</formula>
    </cfRule>
    <cfRule type="cellIs" dxfId="260" priority="251" operator="equal">
      <formula>"Moderado"</formula>
    </cfRule>
    <cfRule type="cellIs" dxfId="259" priority="252" operator="equal">
      <formula>"Bajo"</formula>
    </cfRule>
  </conditionalFormatting>
  <conditionalFormatting sqref="AE63:AE64">
    <cfRule type="cellIs" dxfId="258" priority="244" operator="equal">
      <formula>"Catastrófico"</formula>
    </cfRule>
    <cfRule type="cellIs" dxfId="257" priority="245" operator="equal">
      <formula>"Mayor"</formula>
    </cfRule>
    <cfRule type="cellIs" dxfId="256" priority="246" operator="equal">
      <formula>"Moderado"</formula>
    </cfRule>
    <cfRule type="cellIs" dxfId="255" priority="247" operator="equal">
      <formula>"Menor"</formula>
    </cfRule>
    <cfRule type="cellIs" dxfId="254" priority="248" operator="equal">
      <formula>"Leve"</formula>
    </cfRule>
  </conditionalFormatting>
  <conditionalFormatting sqref="AC63:AC64">
    <cfRule type="cellIs" dxfId="253" priority="239" operator="equal">
      <formula>"Muy Alta"</formula>
    </cfRule>
    <cfRule type="cellIs" dxfId="252" priority="240" operator="equal">
      <formula>"Alta"</formula>
    </cfRule>
    <cfRule type="cellIs" dxfId="251" priority="241" operator="equal">
      <formula>"Media"</formula>
    </cfRule>
    <cfRule type="cellIs" dxfId="250" priority="242" operator="equal">
      <formula>"Baja"</formula>
    </cfRule>
    <cfRule type="cellIs" dxfId="249" priority="243" operator="equal">
      <formula>"Muy Baja"</formula>
    </cfRule>
  </conditionalFormatting>
  <conditionalFormatting sqref="AG63:AG64">
    <cfRule type="cellIs" dxfId="248" priority="235" operator="equal">
      <formula>"Extremo"</formula>
    </cfRule>
    <cfRule type="cellIs" dxfId="247" priority="236" operator="equal">
      <formula>"Alto"</formula>
    </cfRule>
    <cfRule type="cellIs" dxfId="246" priority="237" operator="equal">
      <formula>"Moderado"</formula>
    </cfRule>
    <cfRule type="cellIs" dxfId="245" priority="238" operator="equal">
      <formula>"Bajo"</formula>
    </cfRule>
  </conditionalFormatting>
  <conditionalFormatting sqref="AG89:AG91">
    <cfRule type="cellIs" dxfId="244" priority="217" operator="equal">
      <formula>"Extremo"</formula>
    </cfRule>
    <cfRule type="cellIs" dxfId="243" priority="218" operator="equal">
      <formula>"Alto"</formula>
    </cfRule>
    <cfRule type="cellIs" dxfId="242" priority="219" operator="equal">
      <formula>"Moderado"</formula>
    </cfRule>
    <cfRule type="cellIs" dxfId="241" priority="220" operator="equal">
      <formula>"Bajo"</formula>
    </cfRule>
  </conditionalFormatting>
  <conditionalFormatting sqref="AE89:AE91">
    <cfRule type="cellIs" dxfId="240" priority="212" operator="equal">
      <formula>"Catastrófico"</formula>
    </cfRule>
    <cfRule type="cellIs" dxfId="239" priority="213" operator="equal">
      <formula>"Mayor"</formula>
    </cfRule>
    <cfRule type="cellIs" dxfId="238" priority="214" operator="equal">
      <formula>"Moderado"</formula>
    </cfRule>
    <cfRule type="cellIs" dxfId="237" priority="215" operator="equal">
      <formula>"Menor"</formula>
    </cfRule>
    <cfRule type="cellIs" dxfId="236" priority="216" operator="equal">
      <formula>"Leve"</formula>
    </cfRule>
  </conditionalFormatting>
  <conditionalFormatting sqref="AC89:AC91">
    <cfRule type="cellIs" dxfId="235" priority="207" operator="equal">
      <formula>"Muy Alta"</formula>
    </cfRule>
    <cfRule type="cellIs" dxfId="234" priority="208" operator="equal">
      <formula>"Alta"</formula>
    </cfRule>
    <cfRule type="cellIs" dxfId="233" priority="209" operator="equal">
      <formula>"Media"</formula>
    </cfRule>
    <cfRule type="cellIs" dxfId="232" priority="210" operator="equal">
      <formula>"Baja"</formula>
    </cfRule>
    <cfRule type="cellIs" dxfId="231" priority="211" operator="equal">
      <formula>"Muy Baja"</formula>
    </cfRule>
  </conditionalFormatting>
  <conditionalFormatting sqref="AG92:AG95">
    <cfRule type="cellIs" dxfId="230" priority="203" operator="equal">
      <formula>"Extremo"</formula>
    </cfRule>
    <cfRule type="cellIs" dxfId="229" priority="204" operator="equal">
      <formula>"Alto"</formula>
    </cfRule>
    <cfRule type="cellIs" dxfId="228" priority="205" operator="equal">
      <formula>"Moderado"</formula>
    </cfRule>
    <cfRule type="cellIs" dxfId="227" priority="206" operator="equal">
      <formula>"Bajo"</formula>
    </cfRule>
  </conditionalFormatting>
  <conditionalFormatting sqref="AE92:AE95">
    <cfRule type="cellIs" dxfId="226" priority="198" operator="equal">
      <formula>"Catastrófico"</formula>
    </cfRule>
    <cfRule type="cellIs" dxfId="225" priority="199" operator="equal">
      <formula>"Mayor"</formula>
    </cfRule>
    <cfRule type="cellIs" dxfId="224" priority="200" operator="equal">
      <formula>"Moderado"</formula>
    </cfRule>
    <cfRule type="cellIs" dxfId="223" priority="201" operator="equal">
      <formula>"Menor"</formula>
    </cfRule>
    <cfRule type="cellIs" dxfId="222" priority="202" operator="equal">
      <formula>"Leve"</formula>
    </cfRule>
  </conditionalFormatting>
  <conditionalFormatting sqref="AC92:AC95">
    <cfRule type="cellIs" dxfId="221" priority="193" operator="equal">
      <formula>"Muy Alta"</formula>
    </cfRule>
    <cfRule type="cellIs" dxfId="220" priority="194" operator="equal">
      <formula>"Alta"</formula>
    </cfRule>
    <cfRule type="cellIs" dxfId="219" priority="195" operator="equal">
      <formula>"Media"</formula>
    </cfRule>
    <cfRule type="cellIs" dxfId="218" priority="196" operator="equal">
      <formula>"Baja"</formula>
    </cfRule>
    <cfRule type="cellIs" dxfId="217" priority="197" operator="equal">
      <formula>"Muy Baja"</formula>
    </cfRule>
  </conditionalFormatting>
  <conditionalFormatting sqref="P66:P67">
    <cfRule type="cellIs" dxfId="216" priority="183" operator="equal">
      <formula>"Catastrófico"</formula>
    </cfRule>
    <cfRule type="cellIs" dxfId="215" priority="184" operator="equal">
      <formula>"Mayor"</formula>
    </cfRule>
    <cfRule type="cellIs" dxfId="214" priority="185" operator="equal">
      <formula>"Moderado"</formula>
    </cfRule>
    <cfRule type="cellIs" dxfId="213" priority="186" operator="equal">
      <formula>"Menor"</formula>
    </cfRule>
    <cfRule type="cellIs" dxfId="212" priority="187" operator="equal">
      <formula>"Leve"</formula>
    </cfRule>
  </conditionalFormatting>
  <conditionalFormatting sqref="R66">
    <cfRule type="cellIs" dxfId="211" priority="179" operator="equal">
      <formula>"Extremo"</formula>
    </cfRule>
    <cfRule type="cellIs" dxfId="210" priority="180" operator="equal">
      <formula>"Alto"</formula>
    </cfRule>
    <cfRule type="cellIs" dxfId="209" priority="181" operator="equal">
      <formula>"Moderado"</formula>
    </cfRule>
    <cfRule type="cellIs" dxfId="208" priority="182" operator="equal">
      <formula>"Bajo"</formula>
    </cfRule>
  </conditionalFormatting>
  <conditionalFormatting sqref="L66">
    <cfRule type="cellIs" dxfId="207" priority="188" operator="equal">
      <formula>"Muy Alta"</formula>
    </cfRule>
    <cfRule type="cellIs" dxfId="206" priority="189" operator="equal">
      <formula>"Alta"</formula>
    </cfRule>
    <cfRule type="cellIs" dxfId="205" priority="190" operator="equal">
      <formula>"Media"</formula>
    </cfRule>
    <cfRule type="cellIs" dxfId="204" priority="191" operator="equal">
      <formula>"Baja"</formula>
    </cfRule>
    <cfRule type="cellIs" dxfId="203" priority="192" operator="equal">
      <formula>"Muy Baja"</formula>
    </cfRule>
  </conditionalFormatting>
  <conditionalFormatting sqref="O66">
    <cfRule type="containsText" dxfId="202" priority="178" operator="containsText" text="❌">
      <formula>NOT(ISERROR(SEARCH("❌",O66)))</formula>
    </cfRule>
  </conditionalFormatting>
  <conditionalFormatting sqref="P69">
    <cfRule type="cellIs" dxfId="201" priority="168" operator="equal">
      <formula>"Catastrófico"</formula>
    </cfRule>
    <cfRule type="cellIs" dxfId="200" priority="169" operator="equal">
      <formula>"Mayor"</formula>
    </cfRule>
    <cfRule type="cellIs" dxfId="199" priority="170" operator="equal">
      <formula>"Moderado"</formula>
    </cfRule>
    <cfRule type="cellIs" dxfId="198" priority="171" operator="equal">
      <formula>"Menor"</formula>
    </cfRule>
    <cfRule type="cellIs" dxfId="197" priority="172" operator="equal">
      <formula>"Leve"</formula>
    </cfRule>
  </conditionalFormatting>
  <conditionalFormatting sqref="R69">
    <cfRule type="cellIs" dxfId="196" priority="164" operator="equal">
      <formula>"Extremo"</formula>
    </cfRule>
    <cfRule type="cellIs" dxfId="195" priority="165" operator="equal">
      <formula>"Alto"</formula>
    </cfRule>
    <cfRule type="cellIs" dxfId="194" priority="166" operator="equal">
      <formula>"Moderado"</formula>
    </cfRule>
    <cfRule type="cellIs" dxfId="193" priority="167" operator="equal">
      <formula>"Bajo"</formula>
    </cfRule>
  </conditionalFormatting>
  <conditionalFormatting sqref="L69">
    <cfRule type="cellIs" dxfId="192" priority="173" operator="equal">
      <formula>"Muy Alta"</formula>
    </cfRule>
    <cfRule type="cellIs" dxfId="191" priority="174" operator="equal">
      <formula>"Alta"</formula>
    </cfRule>
    <cfRule type="cellIs" dxfId="190" priority="175" operator="equal">
      <formula>"Media"</formula>
    </cfRule>
    <cfRule type="cellIs" dxfId="189" priority="176" operator="equal">
      <formula>"Baja"</formula>
    </cfRule>
    <cfRule type="cellIs" dxfId="188" priority="177" operator="equal">
      <formula>"Muy Baja"</formula>
    </cfRule>
  </conditionalFormatting>
  <conditionalFormatting sqref="O69">
    <cfRule type="containsText" dxfId="187" priority="163" operator="containsText" text="❌">
      <formula>NOT(ISERROR(SEARCH("❌",O69)))</formula>
    </cfRule>
  </conditionalFormatting>
  <conditionalFormatting sqref="AC66">
    <cfRule type="cellIs" dxfId="186" priority="158" operator="equal">
      <formula>"Muy Alta"</formula>
    </cfRule>
    <cfRule type="cellIs" dxfId="185" priority="159" operator="equal">
      <formula>"Alta"</formula>
    </cfRule>
    <cfRule type="cellIs" dxfId="184" priority="160" operator="equal">
      <formula>"Media"</formula>
    </cfRule>
    <cfRule type="cellIs" dxfId="183" priority="161" operator="equal">
      <formula>"Baja"</formula>
    </cfRule>
    <cfRule type="cellIs" dxfId="182" priority="162" operator="equal">
      <formula>"Muy Baja"</formula>
    </cfRule>
  </conditionalFormatting>
  <conditionalFormatting sqref="AE66">
    <cfRule type="cellIs" dxfId="181" priority="153" operator="equal">
      <formula>"Catastrófico"</formula>
    </cfRule>
    <cfRule type="cellIs" dxfId="180" priority="154" operator="equal">
      <formula>"Mayor"</formula>
    </cfRule>
    <cfRule type="cellIs" dxfId="179" priority="155" operator="equal">
      <formula>"Moderado"</formula>
    </cfRule>
    <cfRule type="cellIs" dxfId="178" priority="156" operator="equal">
      <formula>"Menor"</formula>
    </cfRule>
    <cfRule type="cellIs" dxfId="177" priority="157" operator="equal">
      <formula>"Leve"</formula>
    </cfRule>
  </conditionalFormatting>
  <conditionalFormatting sqref="AG66">
    <cfRule type="cellIs" dxfId="176" priority="149" operator="equal">
      <formula>"Extremo"</formula>
    </cfRule>
    <cfRule type="cellIs" dxfId="175" priority="150" operator="equal">
      <formula>"Alto"</formula>
    </cfRule>
    <cfRule type="cellIs" dxfId="174" priority="151" operator="equal">
      <formula>"Moderado"</formula>
    </cfRule>
    <cfRule type="cellIs" dxfId="173" priority="152" operator="equal">
      <formula>"Bajo"</formula>
    </cfRule>
  </conditionalFormatting>
  <conditionalFormatting sqref="AC69">
    <cfRule type="cellIs" dxfId="172" priority="144" operator="equal">
      <formula>"Muy Alta"</formula>
    </cfRule>
    <cfRule type="cellIs" dxfId="171" priority="145" operator="equal">
      <formula>"Alta"</formula>
    </cfRule>
    <cfRule type="cellIs" dxfId="170" priority="146" operator="equal">
      <formula>"Media"</formula>
    </cfRule>
    <cfRule type="cellIs" dxfId="169" priority="147" operator="equal">
      <formula>"Baja"</formula>
    </cfRule>
    <cfRule type="cellIs" dxfId="168" priority="148" operator="equal">
      <formula>"Muy Baja"</formula>
    </cfRule>
  </conditionalFormatting>
  <conditionalFormatting sqref="AE69">
    <cfRule type="cellIs" dxfId="167" priority="139" operator="equal">
      <formula>"Catastrófico"</formula>
    </cfRule>
    <cfRule type="cellIs" dxfId="166" priority="140" operator="equal">
      <formula>"Mayor"</formula>
    </cfRule>
    <cfRule type="cellIs" dxfId="165" priority="141" operator="equal">
      <formula>"Moderado"</formula>
    </cfRule>
    <cfRule type="cellIs" dxfId="164" priority="142" operator="equal">
      <formula>"Menor"</formula>
    </cfRule>
    <cfRule type="cellIs" dxfId="163" priority="143" operator="equal">
      <formula>"Leve"</formula>
    </cfRule>
  </conditionalFormatting>
  <conditionalFormatting sqref="AG69">
    <cfRule type="cellIs" dxfId="162" priority="135" operator="equal">
      <formula>"Extremo"</formula>
    </cfRule>
    <cfRule type="cellIs" dxfId="161" priority="136" operator="equal">
      <formula>"Alto"</formula>
    </cfRule>
    <cfRule type="cellIs" dxfId="160" priority="137" operator="equal">
      <formula>"Moderado"</formula>
    </cfRule>
    <cfRule type="cellIs" dxfId="159" priority="138" operator="equal">
      <formula>"Bajo"</formula>
    </cfRule>
  </conditionalFormatting>
  <conditionalFormatting sqref="P68">
    <cfRule type="cellIs" dxfId="158" priority="121" operator="equal">
      <formula>"Catastrófico"</formula>
    </cfRule>
    <cfRule type="cellIs" dxfId="157" priority="122" operator="equal">
      <formula>"Mayor"</formula>
    </cfRule>
    <cfRule type="cellIs" dxfId="156" priority="123" operator="equal">
      <formula>"Moderado"</formula>
    </cfRule>
    <cfRule type="cellIs" dxfId="155" priority="124" operator="equal">
      <formula>"Menor"</formula>
    </cfRule>
    <cfRule type="cellIs" dxfId="154" priority="125" operator="equal">
      <formula>"Leve"</formula>
    </cfRule>
  </conditionalFormatting>
  <conditionalFormatting sqref="L67:L68">
    <cfRule type="cellIs" dxfId="153" priority="116" operator="equal">
      <formula>"Muy Alta"</formula>
    </cfRule>
    <cfRule type="cellIs" dxfId="152" priority="117" operator="equal">
      <formula>"Alta"</formula>
    </cfRule>
    <cfRule type="cellIs" dxfId="151" priority="118" operator="equal">
      <formula>"Media"</formula>
    </cfRule>
    <cfRule type="cellIs" dxfId="150" priority="119" operator="equal">
      <formula>"Baja"</formula>
    </cfRule>
    <cfRule type="cellIs" dxfId="149" priority="120" operator="equal">
      <formula>"Muy Baja"</formula>
    </cfRule>
  </conditionalFormatting>
  <conditionalFormatting sqref="R67:R68">
    <cfRule type="cellIs" dxfId="148" priority="112" operator="equal">
      <formula>"Extremo"</formula>
    </cfRule>
    <cfRule type="cellIs" dxfId="147" priority="113" operator="equal">
      <formula>"Alto"</formula>
    </cfRule>
    <cfRule type="cellIs" dxfId="146" priority="114" operator="equal">
      <formula>"Moderado"</formula>
    </cfRule>
    <cfRule type="cellIs" dxfId="145" priority="115" operator="equal">
      <formula>"Bajo"</formula>
    </cfRule>
  </conditionalFormatting>
  <conditionalFormatting sqref="O67:O68">
    <cfRule type="containsText" dxfId="144" priority="111" operator="containsText" text="❌">
      <formula>NOT(ISERROR(SEARCH("❌",O67)))</formula>
    </cfRule>
  </conditionalFormatting>
  <conditionalFormatting sqref="AC67:AC68">
    <cfRule type="cellIs" dxfId="143" priority="106" operator="equal">
      <formula>"Muy Alta"</formula>
    </cfRule>
    <cfRule type="cellIs" dxfId="142" priority="107" operator="equal">
      <formula>"Alta"</formula>
    </cfRule>
    <cfRule type="cellIs" dxfId="141" priority="108" operator="equal">
      <formula>"Media"</formula>
    </cfRule>
    <cfRule type="cellIs" dxfId="140" priority="109" operator="equal">
      <formula>"Baja"</formula>
    </cfRule>
    <cfRule type="cellIs" dxfId="139" priority="110" operator="equal">
      <formula>"Muy Baja"</formula>
    </cfRule>
  </conditionalFormatting>
  <conditionalFormatting sqref="AE67:AE68">
    <cfRule type="cellIs" dxfId="138" priority="101" operator="equal">
      <formula>"Catastrófico"</formula>
    </cfRule>
    <cfRule type="cellIs" dxfId="137" priority="102" operator="equal">
      <formula>"Mayor"</formula>
    </cfRule>
    <cfRule type="cellIs" dxfId="136" priority="103" operator="equal">
      <formula>"Moderado"</formula>
    </cfRule>
    <cfRule type="cellIs" dxfId="135" priority="104" operator="equal">
      <formula>"Menor"</formula>
    </cfRule>
    <cfRule type="cellIs" dxfId="134" priority="105" operator="equal">
      <formula>"Leve"</formula>
    </cfRule>
  </conditionalFormatting>
  <conditionalFormatting sqref="AG67:AG68">
    <cfRule type="cellIs" dxfId="133" priority="97" operator="equal">
      <formula>"Extremo"</formula>
    </cfRule>
    <cfRule type="cellIs" dxfId="132" priority="98" operator="equal">
      <formula>"Alto"</formula>
    </cfRule>
    <cfRule type="cellIs" dxfId="131" priority="99" operator="equal">
      <formula>"Moderado"</formula>
    </cfRule>
    <cfRule type="cellIs" dxfId="130" priority="100" operator="equal">
      <formula>"Bajo"</formula>
    </cfRule>
  </conditionalFormatting>
  <conditionalFormatting sqref="P82 P84">
    <cfRule type="cellIs" dxfId="129" priority="58" operator="equal">
      <formula>"Catastrófico"</formula>
    </cfRule>
    <cfRule type="cellIs" dxfId="128" priority="59" operator="equal">
      <formula>"Mayor"</formula>
    </cfRule>
    <cfRule type="cellIs" dxfId="127" priority="60" operator="equal">
      <formula>"Moderado"</formula>
    </cfRule>
    <cfRule type="cellIs" dxfId="126" priority="61" operator="equal">
      <formula>"Menor"</formula>
    </cfRule>
    <cfRule type="cellIs" dxfId="125" priority="62" operator="equal">
      <formula>"Leve"</formula>
    </cfRule>
  </conditionalFormatting>
  <conditionalFormatting sqref="R82 R84">
    <cfRule type="cellIs" dxfId="124" priority="54" operator="equal">
      <formula>"Extremo"</formula>
    </cfRule>
    <cfRule type="cellIs" dxfId="123" priority="55" operator="equal">
      <formula>"Alto"</formula>
    </cfRule>
    <cfRule type="cellIs" dxfId="122" priority="56" operator="equal">
      <formula>"Moderado"</formula>
    </cfRule>
    <cfRule type="cellIs" dxfId="121" priority="57" operator="equal">
      <formula>"Bajo"</formula>
    </cfRule>
  </conditionalFormatting>
  <conditionalFormatting sqref="L82 L84">
    <cfRule type="cellIs" dxfId="120" priority="63" operator="equal">
      <formula>"Muy Alta"</formula>
    </cfRule>
    <cfRule type="cellIs" dxfId="119" priority="64" operator="equal">
      <formula>"Alta"</formula>
    </cfRule>
    <cfRule type="cellIs" dxfId="118" priority="65" operator="equal">
      <formula>"Media"</formula>
    </cfRule>
    <cfRule type="cellIs" dxfId="117" priority="66" operator="equal">
      <formula>"Baja"</formula>
    </cfRule>
    <cfRule type="cellIs" dxfId="116" priority="67" operator="equal">
      <formula>"Muy Baja"</formula>
    </cfRule>
  </conditionalFormatting>
  <conditionalFormatting sqref="O82:O85">
    <cfRule type="containsText" dxfId="115" priority="53" operator="containsText" text="❌">
      <formula>NOT(ISERROR(SEARCH("❌",O82)))</formula>
    </cfRule>
  </conditionalFormatting>
  <conditionalFormatting sqref="O43">
    <cfRule type="containsText" dxfId="114" priority="2" operator="containsText" text="❌">
      <formula>NOT(ISERROR(SEARCH("❌",O43)))</formula>
    </cfRule>
  </conditionalFormatting>
  <conditionalFormatting sqref="O11">
    <cfRule type="containsText" dxfId="113" priority="1" operator="containsText" text="❌">
      <formula>NOT(ISERROR(SEARCH("❌",O11)))</formula>
    </cfRule>
  </conditionalFormatting>
  <dataValidations count="1">
    <dataValidation type="list" allowBlank="1" showInputMessage="1" showErrorMessage="1" sqref="J31 J60:J61 J35 J63 J54 J48:J49 J19 J16" xr:uid="{00000000-0002-0000-0200-000000000000}">
      <formula1>#REF!</formula1>
    </dataValidation>
  </dataValidations>
  <pageMargins left="0.70866141732283472" right="0.70866141732283472" top="0.74803149606299213" bottom="0.74803149606299213" header="0.31496062992125984" footer="0.31496062992125984"/>
  <pageSetup scale="16" fitToHeight="0" orientation="landscape" r:id="rId1"/>
  <rowBreaks count="2" manualBreakCount="2">
    <brk id="28" max="16383" man="1"/>
    <brk id="59" max="16383" man="1"/>
  </rowBreaks>
  <colBreaks count="1" manualBreakCount="1">
    <brk id="48" max="1048575" man="1"/>
  </colBreaks>
  <drawing r:id="rId2"/>
  <legacyDrawing r:id="rId3"/>
  <extLst>
    <ext xmlns:x14="http://schemas.microsoft.com/office/spreadsheetml/2009/9/main" uri="{CCE6A557-97BC-4b89-ADB6-D9C93CAAB3DF}">
      <x14:dataValidations xmlns:xm="http://schemas.microsoft.com/office/excel/2006/main" count="24">
        <x14:dataValidation type="list" allowBlank="1" showInputMessage="1" showErrorMessage="1" xr:uid="{00000000-0002-0000-0200-000002000000}">
          <x14:formula1>
            <xm:f>'Tabla Valoración controles'!$D$4:$D$6</xm:f>
          </x14:formula1>
          <xm:sqref>V35:V36 V31:V32 V89:V91 V41:V65</xm:sqref>
        </x14:dataValidation>
        <x14:dataValidation type="list" allowBlank="1" showInputMessage="1" showErrorMessage="1" xr:uid="{00000000-0002-0000-0200-000003000000}">
          <x14:formula1>
            <xm:f>'Tabla Valoración controles'!$D$7:$D$8</xm:f>
          </x14:formula1>
          <xm:sqref>W57:W65 W89:W91 W41:W48</xm:sqref>
        </x14:dataValidation>
        <x14:dataValidation type="list" allowBlank="1" showInputMessage="1" showErrorMessage="1" xr:uid="{00000000-0002-0000-0200-000004000000}">
          <x14:formula1>
            <xm:f>'Tabla Valoración controles'!$D$9:$D$10</xm:f>
          </x14:formula1>
          <xm:sqref>Y89:Y91 Y60:Y65</xm:sqref>
        </x14:dataValidation>
        <x14:dataValidation type="list" allowBlank="1" showInputMessage="1" showErrorMessage="1" xr:uid="{00000000-0002-0000-0200-000005000000}">
          <x14:formula1>
            <xm:f>'Tabla Valoración controles'!$D$11:$D$12</xm:f>
          </x14:formula1>
          <xm:sqref>Z89:Z91 Z60:Z65</xm:sqref>
        </x14:dataValidation>
        <x14:dataValidation type="list" allowBlank="1" showInputMessage="1" showErrorMessage="1" xr:uid="{00000000-0002-0000-0200-000006000000}">
          <x14:formula1>
            <xm:f>'Opciones Tratamiento'!$B$9:$B$10</xm:f>
          </x14:formula1>
          <xm:sqref>AN89:AN91 AN63:AN65</xm:sqref>
        </x14:dataValidation>
        <x14:dataValidation type="list" allowBlank="1" showInputMessage="1" showErrorMessage="1" xr:uid="{00000000-0002-0000-0200-000007000000}">
          <x14:formula1>
            <xm:f>'Tabla Valoración controles'!$D$13:$D$14</xm:f>
          </x14:formula1>
          <xm:sqref>AA89:AA91 AA60:AA65</xm:sqref>
        </x14:dataValidation>
        <x14:dataValidation type="list" allowBlank="1" showInputMessage="1" showErrorMessage="1" xr:uid="{00000000-0002-0000-0200-000009000000}">
          <x14:formula1>
            <xm:f>'Opciones Tratamiento'!$E$2:$E$4</xm:f>
          </x14:formula1>
          <xm:sqref>F60:F61 F63</xm:sqref>
        </x14:dataValidation>
        <x14:dataValidation type="list" allowBlank="1" showInputMessage="1" showErrorMessage="1" xr:uid="{00000000-0002-0000-0200-00000B000000}">
          <x14:formula1>
            <xm:f>'Tabla Impacto'!$F$210:$F$221</xm:f>
          </x14:formula1>
          <xm:sqref>N43 N92:N94 N51 N60:N61 N31 N39 N35 N58 N49 N41 N63 N46 N89:N90 N56</xm:sqref>
        </x14:dataValidation>
        <x14:dataValidation type="custom" allowBlank="1" showInputMessage="1" showErrorMessage="1" error="Recuerde que las acciones se generan bajo la medida de mitigar el riesgo" xr:uid="{00000000-0002-0000-0200-00000C000000}">
          <x14:formula1>
            <xm:f>IF(OR(AH60='Opciones Tratamiento'!$B$2,AH60='Opciones Tratamiento'!$B$3,AH60='Opciones Tratamiento'!$B$4),ISBLANK(AH60),ISTEXT(AH60))</xm:f>
          </x14:formula1>
          <xm:sqref>AI60:AI61 AI63:AI65 AI89:AI95</xm:sqref>
        </x14:dataValidation>
        <x14:dataValidation type="custom" allowBlank="1" showInputMessage="1" showErrorMessage="1" error="Recuerde que las acciones se generan bajo la medida de mitigar el riesgo" xr:uid="{00000000-0002-0000-0200-00000D000000}">
          <x14:formula1>
            <xm:f>IF(OR(AH60='Opciones Tratamiento'!$B$2,AH60='Opciones Tratamiento'!$B$3,AH60='Opciones Tratamiento'!$B$4),ISBLANK(AH60),ISTEXT(AH60))</xm:f>
          </x14:formula1>
          <xm:sqref>AJ60:AJ65</xm:sqref>
        </x14:dataValidation>
        <x14:dataValidation type="custom" allowBlank="1" showInputMessage="1" showErrorMessage="1" error="Recuerde que las acciones se generan bajo la medida de mitigar el riesgo" xr:uid="{00000000-0002-0000-0200-00000E000000}">
          <x14:formula1>
            <xm:f>IF(OR(AH62='Opciones Tratamiento'!$B$2,AH62='Opciones Tratamiento'!$B$3,AH62='Opciones Tratamiento'!$B$4),ISBLANK(AH62),ISTEXT(AH62))</xm:f>
          </x14:formula1>
          <xm:sqref>AL63:AL65 AK89:AK91 AK62:AK65</xm:sqref>
        </x14:dataValidation>
        <x14:dataValidation type="custom" allowBlank="1" showInputMessage="1" showErrorMessage="1" error="Recuerde que las acciones se generan bajo la medida de mitigar el riesgo" xr:uid="{00000000-0002-0000-0200-00000F000000}">
          <x14:formula1>
            <xm:f>IF(OR(AH60='Opciones Tratamiento'!$B$2,AH60='Opciones Tratamiento'!$B$3,AH60='Opciones Tratamiento'!$B$4),ISBLANK(AH60),ISTEXT(AH60))</xm:f>
          </x14:formula1>
          <xm:sqref>AL62 AL60 AL89:AL91</xm:sqref>
        </x14:dataValidation>
        <x14:dataValidation type="custom" allowBlank="1" showInputMessage="1" showErrorMessage="1" error="Recuerde que las acciones se generan bajo la medida de mitigar el riesgo" xr:uid="{00000000-0002-0000-0200-000010000000}">
          <x14:formula1>
            <xm:f>IF(OR(AH89='Opciones Tratamiento'!$B$2,AH89='Opciones Tratamiento'!$B$3,AH89='Opciones Tratamiento'!$B$4),ISBLANK(AH89),ISTEXT(AH89))</xm:f>
          </x14:formula1>
          <xm:sqref>AM89:AM91</xm:sqref>
        </x14:dataValidation>
        <x14:dataValidation type="list" allowBlank="1" showInputMessage="1" showErrorMessage="1" xr:uid="{00000000-0002-0000-0200-000012000000}">
          <x14:formula1>
            <xm:f>Hoja2!$K$5:$K$18</xm:f>
          </x14:formula1>
          <xm:sqref>A60:A61 A66:A68 A9:A15</xm:sqref>
        </x14:dataValidation>
        <x14:dataValidation type="list" allowBlank="1" showInputMessage="1" showErrorMessage="1" xr:uid="{00000000-0002-0000-0200-000013000000}">
          <x14:formula1>
            <xm:f>Hoja2!$B$3:$B$22</xm:f>
          </x14:formula1>
          <xm:sqref>D39 D66:D68 D60:D61 D55 D9:D15</xm:sqref>
        </x14:dataValidation>
        <x14:dataValidation type="custom" allowBlank="1" showInputMessage="1" showErrorMessage="1" error="Recuerde que las acciones se generan bajo la medida de mitigar el riesgo" xr:uid="{00000000-0002-0000-0200-000014000000}">
          <x14:formula1>
            <xm:f>IF(OR(AH62='Opciones Tratamiento'!$B$2,AH62='Opciones Tratamiento'!$B$3,AH62='Opciones Tratamiento'!$B$4),ISBLANK(AH62),ISTEXT(AH62))</xm:f>
          </x14:formula1>
          <xm:sqref>AM60:AM61</xm:sqref>
        </x14:dataValidation>
        <x14:dataValidation type="list" allowBlank="1" showInputMessage="1" showErrorMessage="1" xr:uid="{00000000-0002-0000-0200-000015000000}">
          <x14:formula1>
            <xm:f>'/Users/karenmora/Downloads/CARGUE EN RED FINANZAS/INFORMES/GERENCIA/C:/Users/acer/AppData/Local/Microsoft/Windows/INetCache/Content.Outlook/EPEAMTLO/[Mapa de Riesgos de Gestion y de Seguridad de la Informacion-Tesoreria.xlsx]Hoja4'!#REF!</xm:f>
          </x14:formula1>
          <xm:sqref>J55:J59</xm:sqref>
        </x14:dataValidation>
        <x14:dataValidation type="list" allowBlank="1" showInputMessage="1" showErrorMessage="1" xr:uid="{00000000-0002-0000-0200-000016000000}">
          <x14:formula1>
            <xm:f>'/Users/karenmora/Downloads/CARGUE EN RED FINANZAS/INFORMES/GERENCIA/C:/Users/acer/AppData/Local/Microsoft/Windows/INetCache/Content.Outlook/EPEAMTLO/[Mapa de Riesgos de Gestion y de Seguridad de la Informacion-Tesoreria.xlsx]Tabla Valoración controles'!#REF!</xm:f>
          </x14:formula1>
          <xm:sqref>Y55:AA59</xm:sqref>
        </x14:dataValidation>
        <x14:dataValidation type="custom" allowBlank="1" showInputMessage="1" showErrorMessage="1" error="Recuerde que las acciones se generan bajo la medida de mitigar el riesgo" xr:uid="{00000000-0002-0000-0200-000019000000}">
          <x14:formula1>
            <xm:f>IF(OR(AH55='/Users/karenmora/Downloads/CARGUE EN RED FINANZAS/INFORMES/GERENCIA/C:/Users/acer/AppData/Local/Microsoft/Windows/INetCache/Content.Outlook/EPEAMTLO/[Mapa de Riesgos de Gestion y de Seguridad de la Informacion-Tesoreria.xlsx]Opciones Tratamiento'!#REF!,AH55='/Users/karenmora/Downloads/CARGUE EN RED FINANZAS/INFORMES/GERENCIA/C:/Users/acer/AppData/Local/Microsoft/Windows/INetCache/Content.Outlook/EPEAMTLO/[Mapa de Riesgos de Gestion y de Seguridad de la Informacion-Tesoreria.xlsx]Opciones Tratamiento'!#REF!,AH55='/Users/karenmora/Downloads/CARGUE EN RED FINANZAS/INFORMES/GERENCIA/C:/Users/acer/AppData/Local/Microsoft/Windows/INetCache/Content.Outlook/EPEAMTLO/[Mapa de Riesgos de Gestion y de Seguridad de la Informacion-Tesoreria.xlsx]Opciones Tratamiento'!#REF!),ISBLANK(AH55),ISTEXT(AH55))</xm:f>
          </x14:formula1>
          <xm:sqref>AM55</xm:sqref>
        </x14:dataValidation>
        <x14:dataValidation type="list" allowBlank="1" showInputMessage="1" showErrorMessage="1" xr:uid="{00000000-0002-0000-0200-00001A000000}">
          <x14:formula1>
            <xm:f>'/Users/karenmora/Downloads/CARGUE EN RED FINANZAS/INFORMES/GERENCIA/C:/Users/acer/AppData/Local/Microsoft/Windows/INetCache/Content.Outlook/EPEAMTLO/[Mapa de Riesgos de Gestion y de Seguridad de la Informacion-Tesoreria.xlsx]Opciones Tratamiento'!#REF!</xm:f>
          </x14:formula1>
          <xm:sqref>AN55:AN59</xm:sqref>
        </x14:dataValidation>
        <x14:dataValidation type="list" allowBlank="1" showInputMessage="1" showErrorMessage="1" xr:uid="{00000000-0002-0000-0200-00001B000000}">
          <x14:formula1>
            <xm:f>'[1.Matriz Riesgos Direccion Finanzas y Presupuesto.xlsx]Hoja4'!#REF!</xm:f>
          </x14:formula1>
          <xm:sqref>J39:J42 J46:J47</xm:sqref>
        </x14:dataValidation>
        <x14:dataValidation type="list" allowBlank="1" showInputMessage="1" showErrorMessage="1" xr:uid="{00000000-0002-0000-0200-00001C000000}">
          <x14:formula1>
            <xm:f>'[1.Matriz Riesgos Direccion Finanzas y Presupuesto.xlsx]Tabla Valoración controles'!#REF!</xm:f>
          </x14:formula1>
          <xm:sqref>V39:W40</xm:sqref>
        </x14:dataValidation>
        <x14:dataValidation type="custom" allowBlank="1" showInputMessage="1" showErrorMessage="1" error="Recuerde que las acciones se generan bajo la medida de mitigar el riesgo" xr:uid="{00000000-0002-0000-0200-00001E000000}">
          <x14:formula1>
            <xm:f>IF(OR(AH39='[1.Matriz Riesgos Direccion Finanzas y Presupuesto.xlsx]Opciones Tratamiento'!#REF!,AH39='[1.Matriz Riesgos Direccion Finanzas y Presupuesto.xlsx]Opciones Tratamiento'!#REF!,AH39='[1.Matriz Riesgos Direccion Finanzas y Presupuesto.xlsx]Opciones Tratamiento'!#REF!),ISBLANK(AH39),ISTEXT(AH39))</xm:f>
          </x14:formula1>
          <xm:sqref>AM39 AM46:AM47 AM41 AM43:AM44</xm:sqref>
        </x14:dataValidation>
        <x14:dataValidation type="list" allowBlank="1" showInputMessage="1" showErrorMessage="1" xr:uid="{00000000-0002-0000-0200-00001F000000}">
          <x14:formula1>
            <xm:f>'[1.Matriz Riesgos Direccion Finanzas y Presupuesto.xlsx]Opciones Tratamiento'!#REF!</xm:f>
          </x14:formula1>
          <xm:sqref>AN39:AN48 AH39:AH48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4:K12"/>
  <sheetViews>
    <sheetView workbookViewId="0">
      <selection activeCell="M19" sqref="M19"/>
    </sheetView>
  </sheetViews>
  <sheetFormatPr baseColWidth="10" defaultColWidth="11.42578125" defaultRowHeight="15" x14ac:dyDescent="0.25"/>
  <sheetData>
    <row r="4" spans="2:11" x14ac:dyDescent="0.25">
      <c r="B4" t="s">
        <v>188</v>
      </c>
    </row>
    <row r="5" spans="2:11" x14ac:dyDescent="0.25">
      <c r="B5" t="s">
        <v>345</v>
      </c>
    </row>
    <row r="6" spans="2:11" x14ac:dyDescent="0.25">
      <c r="B6" t="s">
        <v>440</v>
      </c>
      <c r="K6" t="s">
        <v>188</v>
      </c>
    </row>
    <row r="7" spans="2:11" x14ac:dyDescent="0.25">
      <c r="B7" t="s">
        <v>320</v>
      </c>
      <c r="K7" t="s">
        <v>345</v>
      </c>
    </row>
    <row r="8" spans="2:11" x14ac:dyDescent="0.25">
      <c r="B8" t="s">
        <v>447</v>
      </c>
      <c r="K8" t="s">
        <v>440</v>
      </c>
    </row>
    <row r="9" spans="2:11" x14ac:dyDescent="0.25">
      <c r="B9" t="s">
        <v>448</v>
      </c>
      <c r="K9" t="s">
        <v>449</v>
      </c>
    </row>
    <row r="10" spans="2:11" x14ac:dyDescent="0.25">
      <c r="B10" t="s">
        <v>450</v>
      </c>
      <c r="K10" t="s">
        <v>447</v>
      </c>
    </row>
    <row r="11" spans="2:11" x14ac:dyDescent="0.25">
      <c r="K11" t="s">
        <v>151</v>
      </c>
    </row>
    <row r="12" spans="2:11" x14ac:dyDescent="0.25">
      <c r="K12" t="s">
        <v>451</v>
      </c>
    </row>
  </sheetData>
  <dataValidations count="1">
    <dataValidation type="list" allowBlank="1" showInputMessage="1" showErrorMessage="1" sqref="B4:C10" xr:uid="{00000000-0002-0000-0300-000000000000}">
      <formula1>$B$4:$B$10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C11"/>
  <sheetViews>
    <sheetView showGridLines="0" zoomScaleNormal="100" workbookViewId="0">
      <selection activeCell="C3" sqref="C3"/>
    </sheetView>
  </sheetViews>
  <sheetFormatPr baseColWidth="10" defaultColWidth="11.42578125" defaultRowHeight="15" x14ac:dyDescent="0.25"/>
  <cols>
    <col min="1" max="1" width="4.28515625" customWidth="1"/>
    <col min="2" max="2" width="56.28515625" customWidth="1"/>
    <col min="3" max="3" width="72" customWidth="1"/>
  </cols>
  <sheetData>
    <row r="1" spans="2:3" ht="18" x14ac:dyDescent="0.25">
      <c r="B1" s="132" t="s">
        <v>452</v>
      </c>
    </row>
    <row r="3" spans="2:3" ht="28.5" customHeight="1" x14ac:dyDescent="0.25">
      <c r="B3" s="133" t="s">
        <v>188</v>
      </c>
      <c r="C3" s="134" t="s">
        <v>453</v>
      </c>
    </row>
    <row r="4" spans="2:3" ht="31.5" x14ac:dyDescent="0.25">
      <c r="B4" s="135" t="s">
        <v>345</v>
      </c>
      <c r="C4" s="136" t="s">
        <v>454</v>
      </c>
    </row>
    <row r="5" spans="2:3" ht="78.75" x14ac:dyDescent="0.25">
      <c r="B5" s="135" t="s">
        <v>440</v>
      </c>
      <c r="C5" s="136" t="s">
        <v>455</v>
      </c>
    </row>
    <row r="6" spans="2:3" ht="31.5" x14ac:dyDescent="0.25">
      <c r="B6" s="135" t="s">
        <v>320</v>
      </c>
      <c r="C6" s="136" t="s">
        <v>456</v>
      </c>
    </row>
    <row r="7" spans="2:3" ht="47.25" x14ac:dyDescent="0.25">
      <c r="B7" s="135" t="s">
        <v>447</v>
      </c>
      <c r="C7" s="136" t="s">
        <v>457</v>
      </c>
    </row>
    <row r="8" spans="2:3" ht="31.5" x14ac:dyDescent="0.25">
      <c r="B8" s="135" t="s">
        <v>448</v>
      </c>
      <c r="C8" s="136" t="s">
        <v>458</v>
      </c>
    </row>
    <row r="9" spans="2:3" ht="31.5" x14ac:dyDescent="0.25">
      <c r="B9" s="135" t="s">
        <v>450</v>
      </c>
      <c r="C9" s="136" t="s">
        <v>459</v>
      </c>
    </row>
    <row r="11" spans="2:3" x14ac:dyDescent="0.25">
      <c r="B11" s="13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U140"/>
  <sheetViews>
    <sheetView topLeftCell="A4" zoomScale="50" zoomScaleNormal="50" workbookViewId="0">
      <selection activeCell="AB18" sqref="AB18:AC19"/>
    </sheetView>
  </sheetViews>
  <sheetFormatPr baseColWidth="10" defaultColWidth="11.42578125" defaultRowHeight="15" x14ac:dyDescent="0.25"/>
  <cols>
    <col min="2" max="39" width="5.7109375" customWidth="1"/>
    <col min="41" max="46" width="5.7109375" customWidth="1"/>
  </cols>
  <sheetData>
    <row r="1" spans="1:99" x14ac:dyDescent="0.25">
      <c r="A1" s="87"/>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c r="BM1" s="87"/>
      <c r="BN1" s="87"/>
      <c r="BO1" s="87"/>
      <c r="BP1" s="87"/>
      <c r="BQ1" s="87"/>
      <c r="BR1" s="87"/>
      <c r="BS1" s="87"/>
      <c r="BT1" s="87"/>
      <c r="BU1" s="87"/>
      <c r="BV1" s="87"/>
      <c r="BW1" s="87"/>
      <c r="BX1" s="87"/>
      <c r="BY1" s="87"/>
      <c r="BZ1" s="87"/>
      <c r="CA1" s="87"/>
      <c r="CB1" s="87"/>
      <c r="CC1" s="87"/>
      <c r="CD1" s="87"/>
      <c r="CE1" s="87"/>
      <c r="CF1" s="87"/>
      <c r="CG1" s="87"/>
      <c r="CH1" s="87"/>
      <c r="CI1" s="87"/>
      <c r="CJ1" s="87"/>
      <c r="CK1" s="87"/>
      <c r="CL1" s="87"/>
      <c r="CM1" s="87"/>
      <c r="CN1" s="87"/>
      <c r="CO1" s="87"/>
      <c r="CP1" s="87"/>
      <c r="CQ1" s="87"/>
      <c r="CR1" s="87"/>
      <c r="CS1" s="87"/>
      <c r="CT1" s="87"/>
      <c r="CU1" s="87"/>
    </row>
    <row r="2" spans="1:99" ht="18" customHeight="1" x14ac:dyDescent="0.25">
      <c r="A2" s="87"/>
      <c r="B2" s="780" t="s">
        <v>460</v>
      </c>
      <c r="C2" s="780"/>
      <c r="D2" s="780"/>
      <c r="E2" s="780"/>
      <c r="F2" s="780"/>
      <c r="G2" s="780"/>
      <c r="H2" s="780"/>
      <c r="I2" s="780"/>
      <c r="J2" s="748" t="s">
        <v>49</v>
      </c>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8"/>
      <c r="AK2" s="748"/>
      <c r="AL2" s="748"/>
      <c r="AM2" s="748"/>
      <c r="AN2" s="87"/>
      <c r="AO2" s="87"/>
      <c r="AP2" s="87"/>
      <c r="AQ2" s="87"/>
      <c r="AR2" s="87"/>
      <c r="AS2" s="87"/>
      <c r="AT2" s="87"/>
      <c r="AU2" s="87"/>
      <c r="AV2" s="87"/>
      <c r="AW2" s="87"/>
      <c r="AX2" s="87"/>
      <c r="AY2" s="87"/>
      <c r="AZ2" s="87"/>
      <c r="BA2" s="87"/>
      <c r="BB2" s="87"/>
      <c r="BC2" s="87"/>
      <c r="BD2" s="87"/>
      <c r="BE2" s="87"/>
      <c r="BF2" s="87"/>
      <c r="BG2" s="87"/>
      <c r="BH2" s="87"/>
      <c r="BI2" s="87"/>
      <c r="BJ2" s="87"/>
      <c r="BK2" s="87"/>
      <c r="BL2" s="87"/>
      <c r="BM2" s="87"/>
      <c r="BN2" s="87"/>
      <c r="BO2" s="87"/>
      <c r="BP2" s="87"/>
      <c r="BQ2" s="87"/>
      <c r="BR2" s="87"/>
      <c r="BS2" s="87"/>
      <c r="BT2" s="87"/>
      <c r="BU2" s="87"/>
      <c r="BV2" s="87"/>
      <c r="BW2" s="87"/>
      <c r="BX2" s="87"/>
      <c r="BY2" s="87"/>
      <c r="BZ2" s="87"/>
      <c r="CA2" s="87"/>
      <c r="CB2" s="87"/>
      <c r="CC2" s="87"/>
      <c r="CD2" s="87"/>
      <c r="CE2" s="87"/>
      <c r="CF2" s="87"/>
      <c r="CG2" s="87"/>
      <c r="CH2" s="87"/>
      <c r="CI2" s="87"/>
      <c r="CJ2" s="87"/>
      <c r="CK2" s="87"/>
      <c r="CL2" s="87"/>
      <c r="CM2" s="87"/>
      <c r="CN2" s="87"/>
      <c r="CO2" s="87"/>
      <c r="CP2" s="87"/>
      <c r="CQ2" s="87"/>
      <c r="CR2" s="87"/>
      <c r="CS2" s="87"/>
      <c r="CT2" s="87"/>
      <c r="CU2" s="87"/>
    </row>
    <row r="3" spans="1:99" ht="18.75" customHeight="1" x14ac:dyDescent="0.25">
      <c r="A3" s="87"/>
      <c r="B3" s="780"/>
      <c r="C3" s="780"/>
      <c r="D3" s="780"/>
      <c r="E3" s="780"/>
      <c r="F3" s="780"/>
      <c r="G3" s="780"/>
      <c r="H3" s="780"/>
      <c r="I3" s="780"/>
      <c r="J3" s="748"/>
      <c r="K3" s="748"/>
      <c r="L3" s="748"/>
      <c r="M3" s="748"/>
      <c r="N3" s="748"/>
      <c r="O3" s="748"/>
      <c r="P3" s="748"/>
      <c r="Q3" s="748"/>
      <c r="R3" s="748"/>
      <c r="S3" s="748"/>
      <c r="T3" s="748"/>
      <c r="U3" s="748"/>
      <c r="V3" s="748"/>
      <c r="W3" s="748"/>
      <c r="X3" s="748"/>
      <c r="Y3" s="748"/>
      <c r="Z3" s="748"/>
      <c r="AA3" s="748"/>
      <c r="AB3" s="748"/>
      <c r="AC3" s="748"/>
      <c r="AD3" s="748"/>
      <c r="AE3" s="748"/>
      <c r="AF3" s="748"/>
      <c r="AG3" s="748"/>
      <c r="AH3" s="748"/>
      <c r="AI3" s="748"/>
      <c r="AJ3" s="748"/>
      <c r="AK3" s="748"/>
      <c r="AL3" s="748"/>
      <c r="AM3" s="748"/>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c r="CN3" s="87"/>
      <c r="CO3" s="87"/>
      <c r="CP3" s="87"/>
      <c r="CQ3" s="87"/>
      <c r="CR3" s="87"/>
      <c r="CS3" s="87"/>
      <c r="CT3" s="87"/>
      <c r="CU3" s="87"/>
    </row>
    <row r="4" spans="1:99" ht="15" customHeight="1" x14ac:dyDescent="0.25">
      <c r="A4" s="87"/>
      <c r="B4" s="780"/>
      <c r="C4" s="780"/>
      <c r="D4" s="780"/>
      <c r="E4" s="780"/>
      <c r="F4" s="780"/>
      <c r="G4" s="780"/>
      <c r="H4" s="780"/>
      <c r="I4" s="780"/>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8"/>
      <c r="AK4" s="748"/>
      <c r="AL4" s="748"/>
      <c r="AM4" s="748"/>
      <c r="AN4" s="87"/>
      <c r="AO4" s="87"/>
      <c r="AP4" s="87"/>
      <c r="AQ4" s="87"/>
      <c r="AR4" s="87"/>
      <c r="AS4" s="87"/>
      <c r="AT4" s="87"/>
      <c r="AU4" s="87"/>
      <c r="AV4" s="87"/>
      <c r="AW4" s="87"/>
      <c r="AX4" s="87"/>
      <c r="AY4" s="87"/>
      <c r="AZ4" s="87"/>
      <c r="BA4" s="87"/>
      <c r="BB4" s="87"/>
      <c r="BC4" s="87"/>
      <c r="BD4" s="87"/>
      <c r="BE4" s="87"/>
      <c r="BF4" s="87"/>
      <c r="BG4" s="87"/>
      <c r="BH4" s="87"/>
      <c r="BI4" s="87"/>
      <c r="BJ4" s="87"/>
      <c r="BK4" s="87"/>
      <c r="BL4" s="87"/>
      <c r="BM4" s="87"/>
      <c r="BN4" s="87"/>
      <c r="BO4" s="87"/>
      <c r="BP4" s="87"/>
      <c r="BQ4" s="87"/>
      <c r="BR4" s="87"/>
      <c r="BS4" s="87"/>
      <c r="BT4" s="87"/>
      <c r="BU4" s="87"/>
      <c r="BV4" s="87"/>
      <c r="BW4" s="87"/>
      <c r="BX4" s="87"/>
      <c r="BY4" s="87"/>
      <c r="BZ4" s="87"/>
      <c r="CA4" s="87"/>
      <c r="CB4" s="87"/>
      <c r="CC4" s="87"/>
      <c r="CD4" s="87"/>
      <c r="CE4" s="87"/>
      <c r="CF4" s="87"/>
      <c r="CG4" s="87"/>
      <c r="CH4" s="87"/>
      <c r="CI4" s="87"/>
      <c r="CJ4" s="87"/>
      <c r="CK4" s="87"/>
      <c r="CL4" s="87"/>
      <c r="CM4" s="87"/>
      <c r="CN4" s="87"/>
      <c r="CO4" s="87"/>
      <c r="CP4" s="87"/>
      <c r="CQ4" s="87"/>
      <c r="CR4" s="87"/>
      <c r="CS4" s="87"/>
      <c r="CT4" s="87"/>
      <c r="CU4" s="87"/>
    </row>
    <row r="5" spans="1:99" ht="15.75" thickBot="1" x14ac:dyDescent="0.3">
      <c r="A5" s="87"/>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c r="BV5" s="87"/>
      <c r="BW5" s="87"/>
      <c r="BX5" s="87"/>
      <c r="BY5" s="87"/>
      <c r="BZ5" s="87"/>
      <c r="CA5" s="87"/>
      <c r="CB5" s="87"/>
      <c r="CC5" s="87"/>
      <c r="CD5" s="87"/>
      <c r="CE5" s="87"/>
      <c r="CF5" s="87"/>
      <c r="CG5" s="87"/>
      <c r="CH5" s="87"/>
      <c r="CI5" s="87"/>
      <c r="CJ5" s="87"/>
      <c r="CK5" s="87"/>
      <c r="CL5" s="87"/>
      <c r="CM5" s="87"/>
      <c r="CN5" s="87"/>
      <c r="CO5" s="87"/>
      <c r="CP5" s="87"/>
      <c r="CQ5" s="87"/>
      <c r="CR5" s="87"/>
      <c r="CS5" s="87"/>
      <c r="CT5" s="87"/>
      <c r="CU5" s="87"/>
    </row>
    <row r="6" spans="1:99" ht="15" customHeight="1" x14ac:dyDescent="0.25">
      <c r="A6" s="87"/>
      <c r="B6" s="695" t="s">
        <v>154</v>
      </c>
      <c r="C6" s="695"/>
      <c r="D6" s="696"/>
      <c r="E6" s="733" t="s">
        <v>461</v>
      </c>
      <c r="F6" s="734"/>
      <c r="G6" s="734"/>
      <c r="H6" s="734"/>
      <c r="I6" s="735"/>
      <c r="J6" s="744" t="str">
        <f ca="1">IF(AND('Mapa final'!$L$9="Muy Alta",'Mapa final'!$P$9="Leve"),CONCATENATE("R",'Mapa final'!$E$9),"")</f>
        <v/>
      </c>
      <c r="K6" s="745"/>
      <c r="L6" s="745" t="str">
        <f ca="1">IF(AND('Mapa final'!$L$63="Muy Alta",'Mapa final'!$P$63="Leve"),CONCATENATE("R",'Mapa final'!$E$63),"")</f>
        <v/>
      </c>
      <c r="M6" s="745"/>
      <c r="N6" s="745" t="str">
        <f>IF(AND('Mapa final'!$L$75="Muy Alta",'Mapa final'!$P$75="Leve"),CONCATENATE("R",'Mapa final'!$E$75),"")</f>
        <v/>
      </c>
      <c r="O6" s="747"/>
      <c r="P6" s="744" t="str">
        <f ca="1">IF(AND('Mapa final'!$L$9="Muy Alta",'Mapa final'!$P$9="Menor"),CONCATENATE("R",'Mapa final'!$E$9),"")</f>
        <v/>
      </c>
      <c r="Q6" s="745"/>
      <c r="R6" s="745" t="str">
        <f ca="1">IF(AND('Mapa final'!$L$63="Muy Alta",'Mapa final'!$P$63="Menor"),CONCATENATE("R",'Mapa final'!$E$63),"")</f>
        <v/>
      </c>
      <c r="S6" s="745"/>
      <c r="T6" s="745" t="str">
        <f>IF(AND('Mapa final'!$L$75="Muy Alta",'Mapa final'!$P$75="Menor"),CONCATENATE("R",'Mapa final'!$E$75),"")</f>
        <v/>
      </c>
      <c r="U6" s="747"/>
      <c r="V6" s="744" t="str">
        <f ca="1">IF(AND('Mapa final'!$L$9="Muy Alta",'Mapa final'!$P$9="Moderado"),CONCATENATE("R",'Mapa final'!$E$9),"")</f>
        <v/>
      </c>
      <c r="W6" s="745"/>
      <c r="X6" s="745" t="str">
        <f ca="1">IF(AND('Mapa final'!$L$63="Muy Alta",'Mapa final'!$P$63="Moderado"),CONCATENATE("R",'Mapa final'!$E$63),"")</f>
        <v/>
      </c>
      <c r="Y6" s="745"/>
      <c r="Z6" s="745" t="str">
        <f>IF(AND('Mapa final'!$L$75="Muy Alta",'Mapa final'!$P$75="Moderado"),CONCATENATE("R",'Mapa final'!$E$75),"")</f>
        <v/>
      </c>
      <c r="AA6" s="747"/>
      <c r="AB6" s="744" t="str">
        <f ca="1">IF(AND('Mapa final'!$L$9="Muy Alta",'Mapa final'!$P$9="Mayor"),CONCATENATE("R",'Mapa final'!$E$9),"")</f>
        <v/>
      </c>
      <c r="AC6" s="745"/>
      <c r="AD6" s="745" t="str">
        <f ca="1">IF(AND('Mapa final'!$L$63="Muy Alta",'Mapa final'!$P$63="Mayor"),CONCATENATE("R",'Mapa final'!$E$63),"")</f>
        <v/>
      </c>
      <c r="AE6" s="745"/>
      <c r="AF6" s="745" t="str">
        <f>IF(AND('Mapa final'!$L$75="Muy Alta",'Mapa final'!$P$75="Mayor"),CONCATENATE("R",'Mapa final'!$E$75),"")</f>
        <v/>
      </c>
      <c r="AG6" s="747"/>
      <c r="AH6" s="759" t="str">
        <f ca="1">IF(AND('Mapa final'!$L$9="Muy Alta",'Mapa final'!$P$9="Catastrófico"),CONCATENATE("R",'Mapa final'!$E$9),"")</f>
        <v/>
      </c>
      <c r="AI6" s="760"/>
      <c r="AJ6" s="760" t="str">
        <f ca="1">IF(AND('Mapa final'!$L$63="Muy Alta",'Mapa final'!$P$63="Catastrófico"),CONCATENATE("R",'Mapa final'!$E$63),"")</f>
        <v/>
      </c>
      <c r="AK6" s="760"/>
      <c r="AL6" s="760" t="str">
        <f>IF(AND('Mapa final'!$L$75="Muy Alta",'Mapa final'!$P$75="Catastrófico"),CONCATENATE("R",'Mapa final'!$E$75),"")</f>
        <v/>
      </c>
      <c r="AM6" s="761"/>
      <c r="AO6" s="697" t="s">
        <v>462</v>
      </c>
      <c r="AP6" s="698"/>
      <c r="AQ6" s="698"/>
      <c r="AR6" s="698"/>
      <c r="AS6" s="698"/>
      <c r="AT6" s="699"/>
      <c r="AU6" s="87"/>
      <c r="AV6" s="87"/>
      <c r="AW6" s="87"/>
      <c r="AX6" s="87"/>
      <c r="AY6" s="87"/>
      <c r="AZ6" s="87"/>
      <c r="BA6" s="87"/>
      <c r="BB6" s="87"/>
      <c r="BC6" s="87"/>
      <c r="BD6" s="87"/>
      <c r="BE6" s="87"/>
      <c r="BF6" s="87"/>
      <c r="BG6" s="87"/>
      <c r="BH6" s="87"/>
      <c r="BI6" s="87"/>
      <c r="BJ6" s="87"/>
      <c r="BK6" s="87"/>
      <c r="BL6" s="87"/>
      <c r="BM6" s="87"/>
      <c r="BN6" s="87"/>
      <c r="BO6" s="87"/>
      <c r="BP6" s="87"/>
      <c r="BQ6" s="87"/>
      <c r="BR6" s="87"/>
      <c r="BS6" s="87"/>
      <c r="BT6" s="87"/>
      <c r="BU6" s="87"/>
      <c r="BV6" s="87"/>
      <c r="BW6" s="87"/>
      <c r="BX6" s="87"/>
      <c r="BY6" s="87"/>
      <c r="BZ6" s="87"/>
      <c r="CA6" s="87"/>
      <c r="CB6" s="87"/>
    </row>
    <row r="7" spans="1:99" ht="15" customHeight="1" x14ac:dyDescent="0.25">
      <c r="A7" s="87"/>
      <c r="B7" s="695"/>
      <c r="C7" s="695"/>
      <c r="D7" s="696"/>
      <c r="E7" s="736"/>
      <c r="F7" s="737"/>
      <c r="G7" s="737"/>
      <c r="H7" s="737"/>
      <c r="I7" s="738"/>
      <c r="J7" s="746"/>
      <c r="K7" s="742"/>
      <c r="L7" s="742"/>
      <c r="M7" s="742"/>
      <c r="N7" s="742"/>
      <c r="O7" s="743"/>
      <c r="P7" s="746"/>
      <c r="Q7" s="742"/>
      <c r="R7" s="742"/>
      <c r="S7" s="742"/>
      <c r="T7" s="742"/>
      <c r="U7" s="743"/>
      <c r="V7" s="746"/>
      <c r="W7" s="742"/>
      <c r="X7" s="742"/>
      <c r="Y7" s="742"/>
      <c r="Z7" s="742"/>
      <c r="AA7" s="743"/>
      <c r="AB7" s="746"/>
      <c r="AC7" s="742"/>
      <c r="AD7" s="742"/>
      <c r="AE7" s="742"/>
      <c r="AF7" s="742"/>
      <c r="AG7" s="743"/>
      <c r="AH7" s="753"/>
      <c r="AI7" s="754"/>
      <c r="AJ7" s="754"/>
      <c r="AK7" s="754"/>
      <c r="AL7" s="754"/>
      <c r="AM7" s="755"/>
      <c r="AN7" s="87"/>
      <c r="AO7" s="700"/>
      <c r="AP7" s="701"/>
      <c r="AQ7" s="701"/>
      <c r="AR7" s="701"/>
      <c r="AS7" s="701"/>
      <c r="AT7" s="702"/>
      <c r="AU7" s="87"/>
      <c r="AV7" s="87"/>
      <c r="AW7" s="87"/>
      <c r="AX7" s="87"/>
      <c r="AY7" s="87"/>
      <c r="AZ7" s="87"/>
      <c r="BA7" s="87"/>
      <c r="BB7" s="87"/>
      <c r="BC7" s="87"/>
      <c r="BD7" s="87"/>
      <c r="BE7" s="87"/>
      <c r="BF7" s="87"/>
      <c r="BG7" s="87"/>
      <c r="BH7" s="87"/>
      <c r="BI7" s="87"/>
      <c r="BJ7" s="87"/>
      <c r="BK7" s="87"/>
      <c r="BL7" s="87"/>
      <c r="BM7" s="87"/>
      <c r="BN7" s="87"/>
      <c r="BO7" s="87"/>
      <c r="BP7" s="87"/>
      <c r="BQ7" s="87"/>
      <c r="BR7" s="87"/>
      <c r="BS7" s="87"/>
      <c r="BT7" s="87"/>
      <c r="BU7" s="87"/>
      <c r="BV7" s="87"/>
      <c r="BW7" s="87"/>
      <c r="BX7" s="87"/>
      <c r="BY7" s="87"/>
      <c r="BZ7" s="87"/>
      <c r="CA7" s="87"/>
      <c r="CB7" s="87"/>
    </row>
    <row r="8" spans="1:99" ht="15" customHeight="1" x14ac:dyDescent="0.25">
      <c r="A8" s="87"/>
      <c r="B8" s="695"/>
      <c r="C8" s="695"/>
      <c r="D8" s="696"/>
      <c r="E8" s="736"/>
      <c r="F8" s="737"/>
      <c r="G8" s="737"/>
      <c r="H8" s="737"/>
      <c r="I8" s="738"/>
      <c r="J8" s="746" t="str">
        <f>IF(AND('Mapa final'!$L$81="Muy Alta",'Mapa final'!$P$81="Leve"),CONCATENATE("R",'Mapa final'!$E$81),"")</f>
        <v/>
      </c>
      <c r="K8" s="742"/>
      <c r="L8" s="742" t="str">
        <f ca="1">IF(AND('Mapa final'!$L$89="Muy Alta",'Mapa final'!$P$89="Leve"),CONCATENATE("R",'Mapa final'!$E$89),"")</f>
        <v/>
      </c>
      <c r="M8" s="742"/>
      <c r="N8" s="742" t="e">
        <f>IF(AND('Mapa final'!#REF!="Muy Alta",'Mapa final'!#REF!="Leve"),CONCATENATE("R",'Mapa final'!#REF!),"")</f>
        <v>#REF!</v>
      </c>
      <c r="O8" s="743"/>
      <c r="P8" s="746" t="str">
        <f>IF(AND('Mapa final'!$L$81="Muy Alta",'Mapa final'!$P$81="Menor"),CONCATENATE("R",'Mapa final'!$E$81),"")</f>
        <v/>
      </c>
      <c r="Q8" s="742"/>
      <c r="R8" s="742" t="str">
        <f ca="1">IF(AND('Mapa final'!$L$89="Muy Alta",'Mapa final'!$P$89="Menor"),CONCATENATE("R",'Mapa final'!$E$89),"")</f>
        <v/>
      </c>
      <c r="S8" s="742"/>
      <c r="T8" s="742" t="e">
        <f>IF(AND('Mapa final'!#REF!="Muy Alta",'Mapa final'!#REF!="Menor"),CONCATENATE("R",'Mapa final'!#REF!),"")</f>
        <v>#REF!</v>
      </c>
      <c r="U8" s="743"/>
      <c r="V8" s="746" t="str">
        <f>IF(AND('Mapa final'!$L$81="Muy Alta",'Mapa final'!$P$81="Moderado"),CONCATENATE("R",'Mapa final'!$E$81),"")</f>
        <v/>
      </c>
      <c r="W8" s="742"/>
      <c r="X8" s="742" t="str">
        <f ca="1">IF(AND('Mapa final'!$L$89="Muy Alta",'Mapa final'!$P$89="Moderado"),CONCATENATE("R",'Mapa final'!$E$89),"")</f>
        <v/>
      </c>
      <c r="Y8" s="742"/>
      <c r="Z8" s="742" t="e">
        <f>IF(AND('Mapa final'!#REF!="Muy Alta",'Mapa final'!#REF!="Moderado"),CONCATENATE("R",'Mapa final'!#REF!),"")</f>
        <v>#REF!</v>
      </c>
      <c r="AA8" s="743"/>
      <c r="AB8" s="746" t="str">
        <f>IF(AND('Mapa final'!$L$81="Muy Alta",'Mapa final'!$P$81="Mayor"),CONCATENATE("R",'Mapa final'!$E$81),"")</f>
        <v/>
      </c>
      <c r="AC8" s="742"/>
      <c r="AD8" s="742" t="str">
        <f ca="1">IF(AND('Mapa final'!$L$89="Muy Alta",'Mapa final'!$P$89="Mayor"),CONCATENATE("R",'Mapa final'!$E$89),"")</f>
        <v/>
      </c>
      <c r="AE8" s="742"/>
      <c r="AF8" s="742" t="e">
        <f>IF(AND('Mapa final'!#REF!="Muy Alta",'Mapa final'!#REF!="Mayor"),CONCATENATE("R",'Mapa final'!#REF!),"")</f>
        <v>#REF!</v>
      </c>
      <c r="AG8" s="743"/>
      <c r="AH8" s="753" t="str">
        <f>IF(AND('Mapa final'!$L$81="Muy Alta",'Mapa final'!$P$81="Catastrófico"),CONCATENATE("R",'Mapa final'!$E$81),"")</f>
        <v/>
      </c>
      <c r="AI8" s="754"/>
      <c r="AJ8" s="754" t="str">
        <f ca="1">IF(AND('Mapa final'!$L$89="Muy Alta",'Mapa final'!$P$89="Catastrófico"),CONCATENATE("R",'Mapa final'!$E$89),"")</f>
        <v/>
      </c>
      <c r="AK8" s="754"/>
      <c r="AL8" s="754" t="e">
        <f>IF(AND('Mapa final'!#REF!="Muy Alta",'Mapa final'!#REF!="Catastrófico"),CONCATENATE("R",'Mapa final'!#REF!),"")</f>
        <v>#REF!</v>
      </c>
      <c r="AM8" s="755"/>
      <c r="AN8" s="87"/>
      <c r="AO8" s="700"/>
      <c r="AP8" s="701"/>
      <c r="AQ8" s="701"/>
      <c r="AR8" s="701"/>
      <c r="AS8" s="701"/>
      <c r="AT8" s="702"/>
      <c r="AU8" s="87"/>
      <c r="AV8" s="87"/>
      <c r="AW8" s="87"/>
      <c r="AX8" s="87"/>
      <c r="AY8" s="87"/>
      <c r="AZ8" s="87"/>
      <c r="BA8" s="87"/>
      <c r="BB8" s="87"/>
      <c r="BC8" s="87"/>
      <c r="BD8" s="87"/>
      <c r="BE8" s="87"/>
      <c r="BF8" s="87"/>
      <c r="BG8" s="87"/>
      <c r="BH8" s="87"/>
      <c r="BI8" s="87"/>
      <c r="BJ8" s="87"/>
      <c r="BK8" s="87"/>
      <c r="BL8" s="87"/>
      <c r="BM8" s="87"/>
      <c r="BN8" s="87"/>
      <c r="BO8" s="87"/>
      <c r="BP8" s="87"/>
      <c r="BQ8" s="87"/>
      <c r="BR8" s="87"/>
      <c r="BS8" s="87"/>
      <c r="BT8" s="87"/>
      <c r="BU8" s="87"/>
      <c r="BV8" s="87"/>
      <c r="BW8" s="87"/>
      <c r="BX8" s="87"/>
      <c r="BY8" s="87"/>
      <c r="BZ8" s="87"/>
      <c r="CA8" s="87"/>
      <c r="CB8" s="87"/>
    </row>
    <row r="9" spans="1:99" ht="15" customHeight="1" x14ac:dyDescent="0.25">
      <c r="A9" s="87"/>
      <c r="B9" s="695"/>
      <c r="C9" s="695"/>
      <c r="D9" s="696"/>
      <c r="E9" s="736"/>
      <c r="F9" s="737"/>
      <c r="G9" s="737"/>
      <c r="H9" s="737"/>
      <c r="I9" s="738"/>
      <c r="J9" s="746"/>
      <c r="K9" s="742"/>
      <c r="L9" s="742"/>
      <c r="M9" s="742"/>
      <c r="N9" s="742"/>
      <c r="O9" s="743"/>
      <c r="P9" s="746"/>
      <c r="Q9" s="742"/>
      <c r="R9" s="742"/>
      <c r="S9" s="742"/>
      <c r="T9" s="742"/>
      <c r="U9" s="743"/>
      <c r="V9" s="746"/>
      <c r="W9" s="742"/>
      <c r="X9" s="742"/>
      <c r="Y9" s="742"/>
      <c r="Z9" s="742"/>
      <c r="AA9" s="743"/>
      <c r="AB9" s="746"/>
      <c r="AC9" s="742"/>
      <c r="AD9" s="742"/>
      <c r="AE9" s="742"/>
      <c r="AF9" s="742"/>
      <c r="AG9" s="743"/>
      <c r="AH9" s="753"/>
      <c r="AI9" s="754"/>
      <c r="AJ9" s="754"/>
      <c r="AK9" s="754"/>
      <c r="AL9" s="754"/>
      <c r="AM9" s="755"/>
      <c r="AN9" s="87"/>
      <c r="AO9" s="700"/>
      <c r="AP9" s="701"/>
      <c r="AQ9" s="701"/>
      <c r="AR9" s="701"/>
      <c r="AS9" s="701"/>
      <c r="AT9" s="702"/>
      <c r="AU9" s="87"/>
      <c r="AV9" s="87"/>
      <c r="AW9" s="87"/>
      <c r="AX9" s="87"/>
      <c r="AY9" s="87"/>
      <c r="AZ9" s="87"/>
      <c r="BA9" s="87"/>
      <c r="BB9" s="87"/>
      <c r="BC9" s="87"/>
      <c r="BD9" s="87"/>
      <c r="BE9" s="87"/>
      <c r="BF9" s="87"/>
      <c r="BG9" s="87"/>
      <c r="BH9" s="87"/>
      <c r="BI9" s="87"/>
      <c r="BJ9" s="87"/>
      <c r="BK9" s="87"/>
      <c r="BL9" s="87"/>
      <c r="BM9" s="87"/>
      <c r="BN9" s="87"/>
      <c r="BO9" s="87"/>
      <c r="BP9" s="87"/>
      <c r="BQ9" s="87"/>
      <c r="BR9" s="87"/>
      <c r="BS9" s="87"/>
      <c r="BT9" s="87"/>
      <c r="BU9" s="87"/>
      <c r="BV9" s="87"/>
      <c r="BW9" s="87"/>
      <c r="BX9" s="87"/>
      <c r="BY9" s="87"/>
      <c r="BZ9" s="87"/>
      <c r="CA9" s="87"/>
      <c r="CB9" s="87"/>
    </row>
    <row r="10" spans="1:99" ht="15" customHeight="1" x14ac:dyDescent="0.25">
      <c r="A10" s="87"/>
      <c r="B10" s="695"/>
      <c r="C10" s="695"/>
      <c r="D10" s="696"/>
      <c r="E10" s="736"/>
      <c r="F10" s="737"/>
      <c r="G10" s="737"/>
      <c r="H10" s="737"/>
      <c r="I10" s="738"/>
      <c r="J10" s="746" t="e">
        <f>IF(AND('Mapa final'!#REF!="Muy Alta",'Mapa final'!#REF!="Leve"),CONCATENATE("R",'Mapa final'!#REF!),"")</f>
        <v>#REF!</v>
      </c>
      <c r="K10" s="742"/>
      <c r="L10" s="742" t="e">
        <f>IF(AND('Mapa final'!#REF!="Muy Alta",'Mapa final'!#REF!="Leve"),CONCATENATE("R",'Mapa final'!#REF!),"")</f>
        <v>#REF!</v>
      </c>
      <c r="M10" s="742"/>
      <c r="N10" s="742" t="e">
        <f>IF(AND('Mapa final'!#REF!="Muy Alta",'Mapa final'!#REF!="Leve"),CONCATENATE("R",'Mapa final'!#REF!),"")</f>
        <v>#REF!</v>
      </c>
      <c r="O10" s="743"/>
      <c r="P10" s="746" t="e">
        <f>IF(AND('Mapa final'!#REF!="Muy Alta",'Mapa final'!#REF!="Menor"),CONCATENATE("R",'Mapa final'!#REF!),"")</f>
        <v>#REF!</v>
      </c>
      <c r="Q10" s="742"/>
      <c r="R10" s="742" t="e">
        <f>IF(AND('Mapa final'!#REF!="Muy Alta",'Mapa final'!#REF!="Menor"),CONCATENATE("R",'Mapa final'!#REF!),"")</f>
        <v>#REF!</v>
      </c>
      <c r="S10" s="742"/>
      <c r="T10" s="742" t="e">
        <f>IF(AND('Mapa final'!#REF!="Muy Alta",'Mapa final'!#REF!="Menor"),CONCATENATE("R",'Mapa final'!#REF!),"")</f>
        <v>#REF!</v>
      </c>
      <c r="U10" s="743"/>
      <c r="V10" s="746" t="e">
        <f>IF(AND('Mapa final'!#REF!="Muy Alta",'Mapa final'!#REF!="Moderado"),CONCATENATE("R",'Mapa final'!#REF!),"")</f>
        <v>#REF!</v>
      </c>
      <c r="W10" s="742"/>
      <c r="X10" s="742" t="e">
        <f>IF(AND('Mapa final'!#REF!="Muy Alta",'Mapa final'!#REF!="Moderado"),CONCATENATE("R",'Mapa final'!#REF!),"")</f>
        <v>#REF!</v>
      </c>
      <c r="Y10" s="742"/>
      <c r="Z10" s="742" t="e">
        <f>IF(AND('Mapa final'!#REF!="Muy Alta",'Mapa final'!#REF!="Moderado"),CONCATENATE("R",'Mapa final'!#REF!),"")</f>
        <v>#REF!</v>
      </c>
      <c r="AA10" s="743"/>
      <c r="AB10" s="746" t="e">
        <f>IF(AND('Mapa final'!#REF!="Muy Alta",'Mapa final'!#REF!="Mayor"),CONCATENATE("R",'Mapa final'!#REF!),"")</f>
        <v>#REF!</v>
      </c>
      <c r="AC10" s="742"/>
      <c r="AD10" s="742" t="e">
        <f>IF(AND('Mapa final'!#REF!="Muy Alta",'Mapa final'!#REF!="Mayor"),CONCATENATE("R",'Mapa final'!#REF!),"")</f>
        <v>#REF!</v>
      </c>
      <c r="AE10" s="742"/>
      <c r="AF10" s="742" t="e">
        <f>IF(AND('Mapa final'!#REF!="Muy Alta",'Mapa final'!#REF!="Mayor"),CONCATENATE("R",'Mapa final'!#REF!),"")</f>
        <v>#REF!</v>
      </c>
      <c r="AG10" s="743"/>
      <c r="AH10" s="753" t="e">
        <f>IF(AND('Mapa final'!#REF!="Muy Alta",'Mapa final'!#REF!="Catastrófico"),CONCATENATE("R",'Mapa final'!#REF!),"")</f>
        <v>#REF!</v>
      </c>
      <c r="AI10" s="754"/>
      <c r="AJ10" s="754" t="e">
        <f>IF(AND('Mapa final'!#REF!="Muy Alta",'Mapa final'!#REF!="Catastrófico"),CONCATENATE("R",'Mapa final'!#REF!),"")</f>
        <v>#REF!</v>
      </c>
      <c r="AK10" s="754"/>
      <c r="AL10" s="754" t="e">
        <f>IF(AND('Mapa final'!#REF!="Muy Alta",'Mapa final'!#REF!="Catastrófico"),CONCATENATE("R",'Mapa final'!#REF!),"")</f>
        <v>#REF!</v>
      </c>
      <c r="AM10" s="755"/>
      <c r="AN10" s="87"/>
      <c r="AO10" s="700"/>
      <c r="AP10" s="701"/>
      <c r="AQ10" s="701"/>
      <c r="AR10" s="701"/>
      <c r="AS10" s="701"/>
      <c r="AT10" s="702"/>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c r="BY10" s="87"/>
      <c r="BZ10" s="87"/>
      <c r="CA10" s="87"/>
      <c r="CB10" s="87"/>
    </row>
    <row r="11" spans="1:99" ht="15" customHeight="1" x14ac:dyDescent="0.25">
      <c r="A11" s="87"/>
      <c r="B11" s="695"/>
      <c r="C11" s="695"/>
      <c r="D11" s="696"/>
      <c r="E11" s="736"/>
      <c r="F11" s="737"/>
      <c r="G11" s="737"/>
      <c r="H11" s="737"/>
      <c r="I11" s="738"/>
      <c r="J11" s="746"/>
      <c r="K11" s="742"/>
      <c r="L11" s="742"/>
      <c r="M11" s="742"/>
      <c r="N11" s="742"/>
      <c r="O11" s="743"/>
      <c r="P11" s="746"/>
      <c r="Q11" s="742"/>
      <c r="R11" s="742"/>
      <c r="S11" s="742"/>
      <c r="T11" s="742"/>
      <c r="U11" s="743"/>
      <c r="V11" s="746"/>
      <c r="W11" s="742"/>
      <c r="X11" s="742"/>
      <c r="Y11" s="742"/>
      <c r="Z11" s="742"/>
      <c r="AA11" s="743"/>
      <c r="AB11" s="746"/>
      <c r="AC11" s="742"/>
      <c r="AD11" s="742"/>
      <c r="AE11" s="742"/>
      <c r="AF11" s="742"/>
      <c r="AG11" s="743"/>
      <c r="AH11" s="753"/>
      <c r="AI11" s="754"/>
      <c r="AJ11" s="754"/>
      <c r="AK11" s="754"/>
      <c r="AL11" s="754"/>
      <c r="AM11" s="755"/>
      <c r="AN11" s="87"/>
      <c r="AO11" s="700"/>
      <c r="AP11" s="701"/>
      <c r="AQ11" s="701"/>
      <c r="AR11" s="701"/>
      <c r="AS11" s="701"/>
      <c r="AT11" s="702"/>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c r="BY11" s="87"/>
      <c r="BZ11" s="87"/>
      <c r="CA11" s="87"/>
      <c r="CB11" s="87"/>
    </row>
    <row r="12" spans="1:99" ht="15" customHeight="1" x14ac:dyDescent="0.25">
      <c r="A12" s="87"/>
      <c r="B12" s="695"/>
      <c r="C12" s="695"/>
      <c r="D12" s="696"/>
      <c r="E12" s="736"/>
      <c r="F12" s="737"/>
      <c r="G12" s="737"/>
      <c r="H12" s="737"/>
      <c r="I12" s="738"/>
      <c r="J12" s="746" t="e">
        <f>IF(AND('Mapa final'!#REF!="Muy Alta",'Mapa final'!#REF!="Leve"),CONCATENATE("R",'Mapa final'!#REF!),"")</f>
        <v>#REF!</v>
      </c>
      <c r="K12" s="742"/>
      <c r="L12" s="742" t="str">
        <f>IF(AND('Mapa final'!$L$96="Muy Alta",'Mapa final'!$P$96="Leve"),CONCATENATE("R",'Mapa final'!$E$96),"")</f>
        <v/>
      </c>
      <c r="M12" s="742"/>
      <c r="N12" s="742" t="str">
        <f>IF(AND('Mapa final'!$L$102="Muy Alta",'Mapa final'!$P$102="Leve"),CONCATENATE("R",'Mapa final'!$E$102),"")</f>
        <v/>
      </c>
      <c r="O12" s="743"/>
      <c r="P12" s="746" t="e">
        <f>IF(AND('Mapa final'!#REF!="Muy Alta",'Mapa final'!#REF!="Menor"),CONCATENATE("R",'Mapa final'!#REF!),"")</f>
        <v>#REF!</v>
      </c>
      <c r="Q12" s="742"/>
      <c r="R12" s="742" t="str">
        <f>IF(AND('Mapa final'!$L$96="Muy Alta",'Mapa final'!$P$96="Menor"),CONCATENATE("R",'Mapa final'!$E$96),"")</f>
        <v/>
      </c>
      <c r="S12" s="742"/>
      <c r="T12" s="742" t="str">
        <f>IF(AND('Mapa final'!$L$102="Muy Alta",'Mapa final'!$P$102="Menor"),CONCATENATE("R",'Mapa final'!$E$102),"")</f>
        <v/>
      </c>
      <c r="U12" s="743"/>
      <c r="V12" s="746" t="e">
        <f>IF(AND('Mapa final'!#REF!="Muy Alta",'Mapa final'!#REF!="Moderado"),CONCATENATE("R",'Mapa final'!#REF!),"")</f>
        <v>#REF!</v>
      </c>
      <c r="W12" s="742"/>
      <c r="X12" s="742" t="str">
        <f>IF(AND('Mapa final'!$L$96="Muy Alta",'Mapa final'!$P$96="Moderado"),CONCATENATE("R",'Mapa final'!$E$96),"")</f>
        <v/>
      </c>
      <c r="Y12" s="742"/>
      <c r="Z12" s="742" t="str">
        <f>IF(AND('Mapa final'!$L$102="Muy Alta",'Mapa final'!$P$102="Moderado"),CONCATENATE("R",'Mapa final'!$E$102),"")</f>
        <v/>
      </c>
      <c r="AA12" s="743"/>
      <c r="AB12" s="746" t="e">
        <f>IF(AND('Mapa final'!#REF!="Muy Alta",'Mapa final'!#REF!="Mayor"),CONCATENATE("R",'Mapa final'!#REF!),"")</f>
        <v>#REF!</v>
      </c>
      <c r="AC12" s="742"/>
      <c r="AD12" s="742" t="str">
        <f>IF(AND('Mapa final'!$L$96="Muy Alta",'Mapa final'!$P$96="Mayor"),CONCATENATE("R",'Mapa final'!$E$96),"")</f>
        <v/>
      </c>
      <c r="AE12" s="742"/>
      <c r="AF12" s="742" t="str">
        <f>IF(AND('Mapa final'!$L$102="Muy Alta",'Mapa final'!$P$102="Mayor"),CONCATENATE("R",'Mapa final'!$E$102),"")</f>
        <v/>
      </c>
      <c r="AG12" s="743"/>
      <c r="AH12" s="753" t="e">
        <f>IF(AND('Mapa final'!#REF!="Muy Alta",'Mapa final'!#REF!="Catastrófico"),CONCATENATE("R",'Mapa final'!#REF!),"")</f>
        <v>#REF!</v>
      </c>
      <c r="AI12" s="754"/>
      <c r="AJ12" s="754" t="str">
        <f>IF(AND('Mapa final'!$L$96="Muy Alta",'Mapa final'!$P$96="Catastrófico"),CONCATENATE("R",'Mapa final'!$E$96),"")</f>
        <v/>
      </c>
      <c r="AK12" s="754"/>
      <c r="AL12" s="754" t="str">
        <f>IF(AND('Mapa final'!$L$102="Muy Alta",'Mapa final'!$P$102="Catastrófico"),CONCATENATE("R",'Mapa final'!$E$102),"")</f>
        <v/>
      </c>
      <c r="AM12" s="755"/>
      <c r="AN12" s="87"/>
      <c r="AO12" s="700"/>
      <c r="AP12" s="701"/>
      <c r="AQ12" s="701"/>
      <c r="AR12" s="701"/>
      <c r="AS12" s="701"/>
      <c r="AT12" s="702"/>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c r="BY12" s="87"/>
      <c r="BZ12" s="87"/>
      <c r="CA12" s="87"/>
      <c r="CB12" s="87"/>
    </row>
    <row r="13" spans="1:99" ht="15.75" customHeight="1" thickBot="1" x14ac:dyDescent="0.3">
      <c r="A13" s="87"/>
      <c r="B13" s="695"/>
      <c r="C13" s="695"/>
      <c r="D13" s="696"/>
      <c r="E13" s="739"/>
      <c r="F13" s="740"/>
      <c r="G13" s="740"/>
      <c r="H13" s="740"/>
      <c r="I13" s="741"/>
      <c r="J13" s="746"/>
      <c r="K13" s="742"/>
      <c r="L13" s="742"/>
      <c r="M13" s="742"/>
      <c r="N13" s="742"/>
      <c r="O13" s="743"/>
      <c r="P13" s="746"/>
      <c r="Q13" s="742"/>
      <c r="R13" s="742"/>
      <c r="S13" s="742"/>
      <c r="T13" s="742"/>
      <c r="U13" s="743"/>
      <c r="V13" s="746"/>
      <c r="W13" s="742"/>
      <c r="X13" s="742"/>
      <c r="Y13" s="742"/>
      <c r="Z13" s="742"/>
      <c r="AA13" s="743"/>
      <c r="AB13" s="746"/>
      <c r="AC13" s="742"/>
      <c r="AD13" s="742"/>
      <c r="AE13" s="742"/>
      <c r="AF13" s="742"/>
      <c r="AG13" s="743"/>
      <c r="AH13" s="756"/>
      <c r="AI13" s="757"/>
      <c r="AJ13" s="757"/>
      <c r="AK13" s="757"/>
      <c r="AL13" s="757"/>
      <c r="AM13" s="758"/>
      <c r="AN13" s="87"/>
      <c r="AO13" s="703"/>
      <c r="AP13" s="704"/>
      <c r="AQ13" s="704"/>
      <c r="AR13" s="704"/>
      <c r="AS13" s="704"/>
      <c r="AT13" s="705"/>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c r="BS13" s="87"/>
      <c r="BT13" s="87"/>
      <c r="BU13" s="87"/>
      <c r="BV13" s="87"/>
      <c r="BW13" s="87"/>
      <c r="BX13" s="87"/>
      <c r="BY13" s="87"/>
      <c r="BZ13" s="87"/>
      <c r="CA13" s="87"/>
      <c r="CB13" s="87"/>
    </row>
    <row r="14" spans="1:99" ht="15" customHeight="1" x14ac:dyDescent="0.25">
      <c r="A14" s="87"/>
      <c r="B14" s="695"/>
      <c r="C14" s="695"/>
      <c r="D14" s="696"/>
      <c r="E14" s="733" t="s">
        <v>463</v>
      </c>
      <c r="F14" s="734"/>
      <c r="G14" s="734"/>
      <c r="H14" s="734"/>
      <c r="I14" s="734"/>
      <c r="J14" s="768" t="str">
        <f ca="1">IF(AND('Mapa final'!$L$9="Alta",'Mapa final'!$P$9="Leve"),CONCATENATE("R",'Mapa final'!$E$9),"")</f>
        <v/>
      </c>
      <c r="K14" s="769"/>
      <c r="L14" s="769" t="str">
        <f ca="1">IF(AND('Mapa final'!$L$63="Alta",'Mapa final'!$P$63="Leve"),CONCATENATE("R",'Mapa final'!$E$63),"")</f>
        <v/>
      </c>
      <c r="M14" s="769"/>
      <c r="N14" s="769" t="str">
        <f>IF(AND('Mapa final'!$L$75="Alta",'Mapa final'!$P$75="Leve"),CONCATENATE("R",'Mapa final'!$E$75),"")</f>
        <v/>
      </c>
      <c r="O14" s="770"/>
      <c r="P14" s="768" t="str">
        <f ca="1">IF(AND('Mapa final'!$L$9="Alta",'Mapa final'!$P$9="Menor"),CONCATENATE("R",'Mapa final'!$E$9),"")</f>
        <v/>
      </c>
      <c r="Q14" s="769"/>
      <c r="R14" s="769" t="str">
        <f ca="1">IF(AND('Mapa final'!$L$63="Alta",'Mapa final'!$P$63="Menor"),CONCATENATE("R",'Mapa final'!$E$63),"")</f>
        <v/>
      </c>
      <c r="S14" s="769"/>
      <c r="T14" s="769" t="str">
        <f>IF(AND('Mapa final'!$L$75="Alta",'Mapa final'!$P$75="Menor"),CONCATENATE("R",'Mapa final'!$E$75),"")</f>
        <v/>
      </c>
      <c r="U14" s="770"/>
      <c r="V14" s="744" t="str">
        <f ca="1">IF(AND('Mapa final'!$L$9="Alta",'Mapa final'!$P$9="Moderado"),CONCATENATE("R",'Mapa final'!$E$9),"")</f>
        <v>R1</v>
      </c>
      <c r="W14" s="745"/>
      <c r="X14" s="745" t="str">
        <f ca="1">IF(AND('Mapa final'!$L$63="Alta",'Mapa final'!$P$63="Moderado"),CONCATENATE("R",'Mapa final'!$E$63),"")</f>
        <v>R2</v>
      </c>
      <c r="Y14" s="745"/>
      <c r="Z14" s="745" t="str">
        <f>IF(AND('Mapa final'!$L$75="Alta",'Mapa final'!$P$75="Moderado"),CONCATENATE("R",'Mapa final'!$E$75),"")</f>
        <v/>
      </c>
      <c r="AA14" s="747"/>
      <c r="AB14" s="744" t="str">
        <f ca="1">IF(AND('Mapa final'!$L$9="Alta",'Mapa final'!$P$9="Mayor"),CONCATENATE("R",'Mapa final'!$E$9),"")</f>
        <v/>
      </c>
      <c r="AC14" s="745"/>
      <c r="AD14" s="745" t="str">
        <f ca="1">IF(AND('Mapa final'!$L$63="Alta",'Mapa final'!$P$63="Mayor"),CONCATENATE("R",'Mapa final'!$E$63),"")</f>
        <v/>
      </c>
      <c r="AE14" s="745"/>
      <c r="AF14" s="745" t="str">
        <f>IF(AND('Mapa final'!$L$75="Alta",'Mapa final'!$P$75="Mayor"),CONCATENATE("R",'Mapa final'!$E$75),"")</f>
        <v/>
      </c>
      <c r="AG14" s="747"/>
      <c r="AH14" s="759" t="str">
        <f ca="1">IF(AND('Mapa final'!$L$9="Alta",'Mapa final'!$P$9="Catastrófico"),CONCATENATE("R",'Mapa final'!$E$9),"")</f>
        <v/>
      </c>
      <c r="AI14" s="760"/>
      <c r="AJ14" s="760" t="str">
        <f ca="1">IF(AND('Mapa final'!$L$63="Alta",'Mapa final'!$P$63="Catastrófico"),CONCATENATE("R",'Mapa final'!$E$63),"")</f>
        <v/>
      </c>
      <c r="AK14" s="760"/>
      <c r="AL14" s="760" t="str">
        <f>IF(AND('Mapa final'!$L$75="Alta",'Mapa final'!$P$75="Catastrófico"),CONCATENATE("R",'Mapa final'!$E$75),"")</f>
        <v/>
      </c>
      <c r="AM14" s="761"/>
      <c r="AN14" s="87"/>
      <c r="AO14" s="706" t="s">
        <v>390</v>
      </c>
      <c r="AP14" s="707"/>
      <c r="AQ14" s="707"/>
      <c r="AR14" s="707"/>
      <c r="AS14" s="707"/>
      <c r="AT14" s="708"/>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87"/>
      <c r="BX14" s="87"/>
      <c r="BY14" s="87"/>
      <c r="BZ14" s="87"/>
      <c r="CA14" s="87"/>
      <c r="CB14" s="87"/>
    </row>
    <row r="15" spans="1:99" ht="15" customHeight="1" x14ac:dyDescent="0.25">
      <c r="A15" s="87"/>
      <c r="B15" s="695"/>
      <c r="C15" s="695"/>
      <c r="D15" s="696"/>
      <c r="E15" s="736"/>
      <c r="F15" s="737"/>
      <c r="G15" s="737"/>
      <c r="H15" s="737"/>
      <c r="I15" s="737"/>
      <c r="J15" s="762"/>
      <c r="K15" s="763"/>
      <c r="L15" s="763"/>
      <c r="M15" s="763"/>
      <c r="N15" s="763"/>
      <c r="O15" s="764"/>
      <c r="P15" s="762"/>
      <c r="Q15" s="763"/>
      <c r="R15" s="763"/>
      <c r="S15" s="763"/>
      <c r="T15" s="763"/>
      <c r="U15" s="764"/>
      <c r="V15" s="746"/>
      <c r="W15" s="742"/>
      <c r="X15" s="742"/>
      <c r="Y15" s="742"/>
      <c r="Z15" s="742"/>
      <c r="AA15" s="743"/>
      <c r="AB15" s="746"/>
      <c r="AC15" s="742"/>
      <c r="AD15" s="742"/>
      <c r="AE15" s="742"/>
      <c r="AF15" s="742"/>
      <c r="AG15" s="743"/>
      <c r="AH15" s="753"/>
      <c r="AI15" s="754"/>
      <c r="AJ15" s="754"/>
      <c r="AK15" s="754"/>
      <c r="AL15" s="754"/>
      <c r="AM15" s="755"/>
      <c r="AN15" s="87"/>
      <c r="AO15" s="709"/>
      <c r="AP15" s="710"/>
      <c r="AQ15" s="710"/>
      <c r="AR15" s="710"/>
      <c r="AS15" s="710"/>
      <c r="AT15" s="711"/>
      <c r="AU15" s="87"/>
      <c r="AV15" s="87"/>
      <c r="AW15" s="87"/>
      <c r="AX15" s="87"/>
      <c r="AY15" s="87"/>
      <c r="AZ15" s="87"/>
      <c r="BA15" s="87"/>
      <c r="BB15" s="87"/>
      <c r="BC15" s="87"/>
      <c r="BD15" s="87"/>
      <c r="BE15" s="87"/>
      <c r="BF15" s="87"/>
      <c r="BG15" s="87"/>
      <c r="BH15" s="87"/>
      <c r="BI15" s="87"/>
      <c r="BJ15" s="87"/>
      <c r="BK15" s="87"/>
      <c r="BL15" s="87"/>
      <c r="BM15" s="87"/>
      <c r="BN15" s="87"/>
      <c r="BO15" s="87"/>
      <c r="BP15" s="87"/>
      <c r="BQ15" s="87"/>
      <c r="BR15" s="87"/>
      <c r="BS15" s="87"/>
      <c r="BT15" s="87"/>
      <c r="BU15" s="87"/>
      <c r="BV15" s="87"/>
      <c r="BW15" s="87"/>
      <c r="BX15" s="87"/>
      <c r="BY15" s="87"/>
      <c r="BZ15" s="87"/>
      <c r="CA15" s="87"/>
      <c r="CB15" s="87"/>
    </row>
    <row r="16" spans="1:99" ht="15" customHeight="1" x14ac:dyDescent="0.25">
      <c r="A16" s="87"/>
      <c r="B16" s="695"/>
      <c r="C16" s="695"/>
      <c r="D16" s="696"/>
      <c r="E16" s="736"/>
      <c r="F16" s="737"/>
      <c r="G16" s="737"/>
      <c r="H16" s="737"/>
      <c r="I16" s="737"/>
      <c r="J16" s="762" t="str">
        <f>IF(AND('Mapa final'!$L$81="Alta",'Mapa final'!$P$81="Leve"),CONCATENATE("R",'Mapa final'!$E$81),"")</f>
        <v/>
      </c>
      <c r="K16" s="763"/>
      <c r="L16" s="763" t="str">
        <f ca="1">IF(AND('Mapa final'!$L$89="Alta",'Mapa final'!$P$89="Leve"),CONCATENATE("R",'Mapa final'!$E$89),"")</f>
        <v/>
      </c>
      <c r="M16" s="763"/>
      <c r="N16" s="763" t="e">
        <f>IF(AND('Mapa final'!#REF!="Alta",'Mapa final'!#REF!="Leve"),CONCATENATE("R",'Mapa final'!#REF!),"")</f>
        <v>#REF!</v>
      </c>
      <c r="O16" s="764"/>
      <c r="P16" s="762" t="str">
        <f>IF(AND('Mapa final'!$L$81="Alta",'Mapa final'!$P$81="Menor"),CONCATENATE("R",'Mapa final'!$E$81),"")</f>
        <v/>
      </c>
      <c r="Q16" s="763"/>
      <c r="R16" s="763" t="str">
        <f ca="1">IF(AND('Mapa final'!$L$89="Alta",'Mapa final'!$P$89="Menor"),CONCATENATE("R",'Mapa final'!$E$89),"")</f>
        <v/>
      </c>
      <c r="S16" s="763"/>
      <c r="T16" s="763" t="e">
        <f>IF(AND('Mapa final'!#REF!="Alta",'Mapa final'!#REF!="Menor"),CONCATENATE("R",'Mapa final'!#REF!),"")</f>
        <v>#REF!</v>
      </c>
      <c r="U16" s="764"/>
      <c r="V16" s="746" t="str">
        <f>IF(AND('Mapa final'!$L$81="Alta",'Mapa final'!$P$81="Moderado"),CONCATENATE("R",'Mapa final'!$E$81),"")</f>
        <v/>
      </c>
      <c r="W16" s="742"/>
      <c r="X16" s="742" t="str">
        <f ca="1">IF(AND('Mapa final'!$L$89="Alta",'Mapa final'!$P$89="Moderado"),CONCATENATE("R",'Mapa final'!$E$89),"")</f>
        <v/>
      </c>
      <c r="Y16" s="742"/>
      <c r="Z16" s="742" t="e">
        <f>IF(AND('Mapa final'!#REF!="Alta",'Mapa final'!#REF!="Moderado"),CONCATENATE("R",'Mapa final'!#REF!),"")</f>
        <v>#REF!</v>
      </c>
      <c r="AA16" s="743"/>
      <c r="AB16" s="746" t="str">
        <f>IF(AND('Mapa final'!$L$81="Alta",'Mapa final'!$P$81="Mayor"),CONCATENATE("R",'Mapa final'!$E$81),"")</f>
        <v/>
      </c>
      <c r="AC16" s="742"/>
      <c r="AD16" s="742" t="str">
        <f ca="1">IF(AND('Mapa final'!$L$89="Alta",'Mapa final'!$P$89="Mayor"),CONCATENATE("R",'Mapa final'!$E$89),"")</f>
        <v/>
      </c>
      <c r="AE16" s="742"/>
      <c r="AF16" s="742" t="e">
        <f>IF(AND('Mapa final'!#REF!="Alta",'Mapa final'!#REF!="Mayor"),CONCATENATE("R",'Mapa final'!#REF!),"")</f>
        <v>#REF!</v>
      </c>
      <c r="AG16" s="743"/>
      <c r="AH16" s="753" t="str">
        <f>IF(AND('Mapa final'!$L$81="Alta",'Mapa final'!$P$81="Catastrófico"),CONCATENATE("R",'Mapa final'!$E$81),"")</f>
        <v/>
      </c>
      <c r="AI16" s="754"/>
      <c r="AJ16" s="754" t="str">
        <f ca="1">IF(AND('Mapa final'!$L$89="Alta",'Mapa final'!$P$89="Catastrófico"),CONCATENATE("R",'Mapa final'!$E$89),"")</f>
        <v/>
      </c>
      <c r="AK16" s="754"/>
      <c r="AL16" s="754" t="e">
        <f>IF(AND('Mapa final'!#REF!="Alta",'Mapa final'!#REF!="Catastrófico"),CONCATENATE("R",'Mapa final'!#REF!),"")</f>
        <v>#REF!</v>
      </c>
      <c r="AM16" s="755"/>
      <c r="AN16" s="87"/>
      <c r="AO16" s="709"/>
      <c r="AP16" s="710"/>
      <c r="AQ16" s="710"/>
      <c r="AR16" s="710"/>
      <c r="AS16" s="710"/>
      <c r="AT16" s="711"/>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c r="BS16" s="87"/>
      <c r="BT16" s="87"/>
      <c r="BU16" s="87"/>
      <c r="BV16" s="87"/>
      <c r="BW16" s="87"/>
      <c r="BX16" s="87"/>
      <c r="BY16" s="87"/>
      <c r="BZ16" s="87"/>
      <c r="CA16" s="87"/>
      <c r="CB16" s="87"/>
    </row>
    <row r="17" spans="1:80" ht="15" customHeight="1" x14ac:dyDescent="0.25">
      <c r="A17" s="87"/>
      <c r="B17" s="695"/>
      <c r="C17" s="695"/>
      <c r="D17" s="696"/>
      <c r="E17" s="736"/>
      <c r="F17" s="737"/>
      <c r="G17" s="737"/>
      <c r="H17" s="737"/>
      <c r="I17" s="737"/>
      <c r="J17" s="762"/>
      <c r="K17" s="763"/>
      <c r="L17" s="763"/>
      <c r="M17" s="763"/>
      <c r="N17" s="763"/>
      <c r="O17" s="764"/>
      <c r="P17" s="762"/>
      <c r="Q17" s="763"/>
      <c r="R17" s="763"/>
      <c r="S17" s="763"/>
      <c r="T17" s="763"/>
      <c r="U17" s="764"/>
      <c r="V17" s="746"/>
      <c r="W17" s="742"/>
      <c r="X17" s="742"/>
      <c r="Y17" s="742"/>
      <c r="Z17" s="742"/>
      <c r="AA17" s="743"/>
      <c r="AB17" s="746"/>
      <c r="AC17" s="742"/>
      <c r="AD17" s="742"/>
      <c r="AE17" s="742"/>
      <c r="AF17" s="742"/>
      <c r="AG17" s="743"/>
      <c r="AH17" s="753"/>
      <c r="AI17" s="754"/>
      <c r="AJ17" s="754"/>
      <c r="AK17" s="754"/>
      <c r="AL17" s="754"/>
      <c r="AM17" s="755"/>
      <c r="AN17" s="87"/>
      <c r="AO17" s="709"/>
      <c r="AP17" s="710"/>
      <c r="AQ17" s="710"/>
      <c r="AR17" s="710"/>
      <c r="AS17" s="710"/>
      <c r="AT17" s="711"/>
      <c r="AU17" s="87"/>
      <c r="AV17" s="87"/>
      <c r="AW17" s="87"/>
      <c r="AX17" s="87"/>
      <c r="AY17" s="87"/>
      <c r="AZ17" s="87"/>
      <c r="BA17" s="87"/>
      <c r="BB17" s="87"/>
      <c r="BC17" s="87"/>
      <c r="BD17" s="87"/>
      <c r="BE17" s="87"/>
      <c r="BF17" s="87"/>
      <c r="BG17" s="87"/>
      <c r="BH17" s="87"/>
      <c r="BI17" s="87"/>
      <c r="BJ17" s="87"/>
      <c r="BK17" s="87"/>
      <c r="BL17" s="87"/>
      <c r="BM17" s="87"/>
      <c r="BN17" s="87"/>
      <c r="BO17" s="87"/>
      <c r="BP17" s="87"/>
      <c r="BQ17" s="87"/>
      <c r="BR17" s="87"/>
      <c r="BS17" s="87"/>
      <c r="BT17" s="87"/>
      <c r="BU17" s="87"/>
      <c r="BV17" s="87"/>
      <c r="BW17" s="87"/>
      <c r="BX17" s="87"/>
      <c r="BY17" s="87"/>
      <c r="BZ17" s="87"/>
      <c r="CA17" s="87"/>
      <c r="CB17" s="87"/>
    </row>
    <row r="18" spans="1:80" ht="15" customHeight="1" x14ac:dyDescent="0.25">
      <c r="A18" s="87"/>
      <c r="B18" s="695"/>
      <c r="C18" s="695"/>
      <c r="D18" s="696"/>
      <c r="E18" s="736"/>
      <c r="F18" s="737"/>
      <c r="G18" s="737"/>
      <c r="H18" s="737"/>
      <c r="I18" s="737"/>
      <c r="J18" s="762" t="e">
        <f>IF(AND('Mapa final'!#REF!="Alta",'Mapa final'!#REF!="Leve"),CONCATENATE("R",'Mapa final'!#REF!),"")</f>
        <v>#REF!</v>
      </c>
      <c r="K18" s="763"/>
      <c r="L18" s="763" t="e">
        <f>IF(AND('Mapa final'!#REF!="Alta",'Mapa final'!#REF!="Leve"),CONCATENATE("R",'Mapa final'!#REF!),"")</f>
        <v>#REF!</v>
      </c>
      <c r="M18" s="763"/>
      <c r="N18" s="763" t="e">
        <f>IF(AND('Mapa final'!#REF!="Alta",'Mapa final'!#REF!="Leve"),CONCATENATE("R",'Mapa final'!#REF!),"")</f>
        <v>#REF!</v>
      </c>
      <c r="O18" s="764"/>
      <c r="P18" s="762" t="e">
        <f>IF(AND('Mapa final'!#REF!="Alta",'Mapa final'!#REF!="Menor"),CONCATENATE("R",'Mapa final'!#REF!),"")</f>
        <v>#REF!</v>
      </c>
      <c r="Q18" s="763"/>
      <c r="R18" s="763" t="e">
        <f>IF(AND('Mapa final'!#REF!="Alta",'Mapa final'!#REF!="Menor"),CONCATENATE("R",'Mapa final'!#REF!),"")</f>
        <v>#REF!</v>
      </c>
      <c r="S18" s="763"/>
      <c r="T18" s="763" t="e">
        <f>IF(AND('Mapa final'!#REF!="Alta",'Mapa final'!#REF!="Menor"),CONCATENATE("R",'Mapa final'!#REF!),"")</f>
        <v>#REF!</v>
      </c>
      <c r="U18" s="764"/>
      <c r="V18" s="746" t="e">
        <f>IF(AND('Mapa final'!#REF!="Alta",'Mapa final'!#REF!="Moderado"),CONCATENATE("R",'Mapa final'!#REF!),"")</f>
        <v>#REF!</v>
      </c>
      <c r="W18" s="742"/>
      <c r="X18" s="742" t="e">
        <f>IF(AND('Mapa final'!#REF!="Alta",'Mapa final'!#REF!="Moderado"),CONCATENATE("R",'Mapa final'!#REF!),"")</f>
        <v>#REF!</v>
      </c>
      <c r="Y18" s="742"/>
      <c r="Z18" s="742" t="e">
        <f>IF(AND('Mapa final'!#REF!="Alta",'Mapa final'!#REF!="Moderado"),CONCATENATE("R",'Mapa final'!#REF!),"")</f>
        <v>#REF!</v>
      </c>
      <c r="AA18" s="743"/>
      <c r="AB18" s="746" t="e">
        <f>IF(AND('Mapa final'!#REF!="Alta",'Mapa final'!#REF!="Mayor"),CONCATENATE("R",'Mapa final'!#REF!),"")</f>
        <v>#REF!</v>
      </c>
      <c r="AC18" s="742"/>
      <c r="AD18" s="742" t="e">
        <f>IF(AND('Mapa final'!#REF!="Alta",'Mapa final'!#REF!="Mayor"),CONCATENATE("R",'Mapa final'!#REF!),"")</f>
        <v>#REF!</v>
      </c>
      <c r="AE18" s="742"/>
      <c r="AF18" s="742" t="e">
        <f>IF(AND('Mapa final'!#REF!="Alta",'Mapa final'!#REF!="Mayor"),CONCATENATE("R",'Mapa final'!#REF!),"")</f>
        <v>#REF!</v>
      </c>
      <c r="AG18" s="743"/>
      <c r="AH18" s="753" t="e">
        <f>IF(AND('Mapa final'!#REF!="Alta",'Mapa final'!#REF!="Catastrófico"),CONCATENATE("R",'Mapa final'!#REF!),"")</f>
        <v>#REF!</v>
      </c>
      <c r="AI18" s="754"/>
      <c r="AJ18" s="754" t="e">
        <f>IF(AND('Mapa final'!#REF!="Alta",'Mapa final'!#REF!="Catastrófico"),CONCATENATE("R",'Mapa final'!#REF!),"")</f>
        <v>#REF!</v>
      </c>
      <c r="AK18" s="754"/>
      <c r="AL18" s="754" t="e">
        <f>IF(AND('Mapa final'!#REF!="Alta",'Mapa final'!#REF!="Catastrófico"),CONCATENATE("R",'Mapa final'!#REF!),"")</f>
        <v>#REF!</v>
      </c>
      <c r="AM18" s="755"/>
      <c r="AN18" s="87"/>
      <c r="AO18" s="709"/>
      <c r="AP18" s="710"/>
      <c r="AQ18" s="710"/>
      <c r="AR18" s="710"/>
      <c r="AS18" s="710"/>
      <c r="AT18" s="711"/>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c r="BS18" s="87"/>
      <c r="BT18" s="87"/>
      <c r="BU18" s="87"/>
      <c r="BV18" s="87"/>
      <c r="BW18" s="87"/>
      <c r="BX18" s="87"/>
      <c r="BY18" s="87"/>
      <c r="BZ18" s="87"/>
      <c r="CA18" s="87"/>
      <c r="CB18" s="87"/>
    </row>
    <row r="19" spans="1:80" ht="15" customHeight="1" x14ac:dyDescent="0.25">
      <c r="A19" s="87"/>
      <c r="B19" s="695"/>
      <c r="C19" s="695"/>
      <c r="D19" s="696"/>
      <c r="E19" s="736"/>
      <c r="F19" s="737"/>
      <c r="G19" s="737"/>
      <c r="H19" s="737"/>
      <c r="I19" s="737"/>
      <c r="J19" s="762"/>
      <c r="K19" s="763"/>
      <c r="L19" s="763"/>
      <c r="M19" s="763"/>
      <c r="N19" s="763"/>
      <c r="O19" s="764"/>
      <c r="P19" s="762"/>
      <c r="Q19" s="763"/>
      <c r="R19" s="763"/>
      <c r="S19" s="763"/>
      <c r="T19" s="763"/>
      <c r="U19" s="764"/>
      <c r="V19" s="746"/>
      <c r="W19" s="742"/>
      <c r="X19" s="742"/>
      <c r="Y19" s="742"/>
      <c r="Z19" s="742"/>
      <c r="AA19" s="743"/>
      <c r="AB19" s="746"/>
      <c r="AC19" s="742"/>
      <c r="AD19" s="742"/>
      <c r="AE19" s="742"/>
      <c r="AF19" s="742"/>
      <c r="AG19" s="743"/>
      <c r="AH19" s="753"/>
      <c r="AI19" s="754"/>
      <c r="AJ19" s="754"/>
      <c r="AK19" s="754"/>
      <c r="AL19" s="754"/>
      <c r="AM19" s="755"/>
      <c r="AN19" s="87"/>
      <c r="AO19" s="709"/>
      <c r="AP19" s="710"/>
      <c r="AQ19" s="710"/>
      <c r="AR19" s="710"/>
      <c r="AS19" s="710"/>
      <c r="AT19" s="711"/>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c r="BS19" s="87"/>
      <c r="BT19" s="87"/>
      <c r="BU19" s="87"/>
      <c r="BV19" s="87"/>
      <c r="BW19" s="87"/>
      <c r="BX19" s="87"/>
      <c r="BY19" s="87"/>
      <c r="BZ19" s="87"/>
      <c r="CA19" s="87"/>
      <c r="CB19" s="87"/>
    </row>
    <row r="20" spans="1:80" ht="15" customHeight="1" x14ac:dyDescent="0.25">
      <c r="A20" s="87"/>
      <c r="B20" s="695"/>
      <c r="C20" s="695"/>
      <c r="D20" s="696"/>
      <c r="E20" s="736"/>
      <c r="F20" s="737"/>
      <c r="G20" s="737"/>
      <c r="H20" s="737"/>
      <c r="I20" s="737"/>
      <c r="J20" s="762" t="e">
        <f>IF(AND('Mapa final'!#REF!="Alta",'Mapa final'!#REF!="Leve"),CONCATENATE("R",'Mapa final'!#REF!),"")</f>
        <v>#REF!</v>
      </c>
      <c r="K20" s="763"/>
      <c r="L20" s="763" t="str">
        <f>IF(AND('Mapa final'!$L$96="Alta",'Mapa final'!$P$96="Leve"),CONCATENATE("R",'Mapa final'!$E$96),"")</f>
        <v/>
      </c>
      <c r="M20" s="763"/>
      <c r="N20" s="763" t="str">
        <f>IF(AND('Mapa final'!$L$102="Alta",'Mapa final'!$P$102="Leve"),CONCATENATE("R",'Mapa final'!$E$102),"")</f>
        <v/>
      </c>
      <c r="O20" s="764"/>
      <c r="P20" s="762" t="e">
        <f>IF(AND('Mapa final'!#REF!="Alta",'Mapa final'!#REF!="Menor"),CONCATENATE("R",'Mapa final'!#REF!),"")</f>
        <v>#REF!</v>
      </c>
      <c r="Q20" s="763"/>
      <c r="R20" s="763" t="str">
        <f>IF(AND('Mapa final'!$L$96="Alta",'Mapa final'!$P$96="Menor"),CONCATENATE("R",'Mapa final'!$E$96),"")</f>
        <v/>
      </c>
      <c r="S20" s="763"/>
      <c r="T20" s="763" t="str">
        <f>IF(AND('Mapa final'!$L$102="Alta",'Mapa final'!$P$102="Menor"),CONCATENATE("R",'Mapa final'!$E$102),"")</f>
        <v/>
      </c>
      <c r="U20" s="764"/>
      <c r="V20" s="746" t="e">
        <f>IF(AND('Mapa final'!#REF!="Alta",'Mapa final'!#REF!="Moderado"),CONCATENATE("R",'Mapa final'!#REF!),"")</f>
        <v>#REF!</v>
      </c>
      <c r="W20" s="742"/>
      <c r="X20" s="742" t="str">
        <f>IF(AND('Mapa final'!$L$96="Alta",'Mapa final'!$P$96="Moderado"),CONCATENATE("R",'Mapa final'!$E$96),"")</f>
        <v/>
      </c>
      <c r="Y20" s="742"/>
      <c r="Z20" s="742" t="str">
        <f>IF(AND('Mapa final'!$L$102="Alta",'Mapa final'!$P$102="Moderado"),CONCATENATE("R",'Mapa final'!$E$102),"")</f>
        <v/>
      </c>
      <c r="AA20" s="743"/>
      <c r="AB20" s="746" t="e">
        <f>IF(AND('Mapa final'!#REF!="Alta",'Mapa final'!#REF!="Mayor"),CONCATENATE("R",'Mapa final'!#REF!),"")</f>
        <v>#REF!</v>
      </c>
      <c r="AC20" s="742"/>
      <c r="AD20" s="742" t="str">
        <f>IF(AND('Mapa final'!$L$96="Alta",'Mapa final'!$P$96="Mayor"),CONCATENATE("R",'Mapa final'!$E$96),"")</f>
        <v/>
      </c>
      <c r="AE20" s="742"/>
      <c r="AF20" s="742" t="str">
        <f>IF(AND('Mapa final'!$L$102="Alta",'Mapa final'!$P$102="Mayor"),CONCATENATE("R",'Mapa final'!$E$102),"")</f>
        <v/>
      </c>
      <c r="AG20" s="743"/>
      <c r="AH20" s="753" t="e">
        <f>IF(AND('Mapa final'!#REF!="Alta",'Mapa final'!#REF!="Catastrófico"),CONCATENATE("R",'Mapa final'!#REF!),"")</f>
        <v>#REF!</v>
      </c>
      <c r="AI20" s="754"/>
      <c r="AJ20" s="754" t="str">
        <f>IF(AND('Mapa final'!$L$96="Alta",'Mapa final'!$P$96="Catastrófico"),CONCATENATE("R",'Mapa final'!$E$96),"")</f>
        <v/>
      </c>
      <c r="AK20" s="754"/>
      <c r="AL20" s="754" t="str">
        <f>IF(AND('Mapa final'!$L$102="Alta",'Mapa final'!$P$102="Catastrófico"),CONCATENATE("R",'Mapa final'!$E$102),"")</f>
        <v/>
      </c>
      <c r="AM20" s="755"/>
      <c r="AN20" s="87"/>
      <c r="AO20" s="709"/>
      <c r="AP20" s="710"/>
      <c r="AQ20" s="710"/>
      <c r="AR20" s="710"/>
      <c r="AS20" s="710"/>
      <c r="AT20" s="711"/>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c r="BS20" s="87"/>
      <c r="BT20" s="87"/>
      <c r="BU20" s="87"/>
      <c r="BV20" s="87"/>
      <c r="BW20" s="87"/>
      <c r="BX20" s="87"/>
      <c r="BY20" s="87"/>
      <c r="BZ20" s="87"/>
      <c r="CA20" s="87"/>
      <c r="CB20" s="87"/>
    </row>
    <row r="21" spans="1:80" ht="15.75" customHeight="1" thickBot="1" x14ac:dyDescent="0.3">
      <c r="A21" s="87"/>
      <c r="B21" s="695"/>
      <c r="C21" s="695"/>
      <c r="D21" s="696"/>
      <c r="E21" s="739"/>
      <c r="F21" s="740"/>
      <c r="G21" s="740"/>
      <c r="H21" s="740"/>
      <c r="I21" s="740"/>
      <c r="J21" s="765"/>
      <c r="K21" s="766"/>
      <c r="L21" s="766"/>
      <c r="M21" s="766"/>
      <c r="N21" s="766"/>
      <c r="O21" s="767"/>
      <c r="P21" s="765"/>
      <c r="Q21" s="766"/>
      <c r="R21" s="766"/>
      <c r="S21" s="766"/>
      <c r="T21" s="766"/>
      <c r="U21" s="767"/>
      <c r="V21" s="750"/>
      <c r="W21" s="751"/>
      <c r="X21" s="751"/>
      <c r="Y21" s="751"/>
      <c r="Z21" s="751"/>
      <c r="AA21" s="752"/>
      <c r="AB21" s="750"/>
      <c r="AC21" s="751"/>
      <c r="AD21" s="751"/>
      <c r="AE21" s="751"/>
      <c r="AF21" s="751"/>
      <c r="AG21" s="752"/>
      <c r="AH21" s="756"/>
      <c r="AI21" s="757"/>
      <c r="AJ21" s="757"/>
      <c r="AK21" s="757"/>
      <c r="AL21" s="757"/>
      <c r="AM21" s="758"/>
      <c r="AN21" s="87"/>
      <c r="AO21" s="712"/>
      <c r="AP21" s="713"/>
      <c r="AQ21" s="713"/>
      <c r="AR21" s="713"/>
      <c r="AS21" s="713"/>
      <c r="AT21" s="714"/>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c r="BS21" s="87"/>
      <c r="BT21" s="87"/>
      <c r="BU21" s="87"/>
      <c r="BV21" s="87"/>
      <c r="BW21" s="87"/>
      <c r="BX21" s="87"/>
      <c r="BY21" s="87"/>
      <c r="BZ21" s="87"/>
      <c r="CA21" s="87"/>
      <c r="CB21" s="87"/>
    </row>
    <row r="22" spans="1:80" x14ac:dyDescent="0.25">
      <c r="A22" s="87"/>
      <c r="B22" s="695"/>
      <c r="C22" s="695"/>
      <c r="D22" s="696"/>
      <c r="E22" s="733" t="s">
        <v>464</v>
      </c>
      <c r="F22" s="734"/>
      <c r="G22" s="734"/>
      <c r="H22" s="734"/>
      <c r="I22" s="735"/>
      <c r="J22" s="768" t="str">
        <f ca="1">IF(AND('Mapa final'!$L$9="Media",'Mapa final'!$P$9="Leve"),CONCATENATE("R",'Mapa final'!$E$9),"")</f>
        <v/>
      </c>
      <c r="K22" s="769"/>
      <c r="L22" s="769" t="str">
        <f ca="1">IF(AND('Mapa final'!$L$63="Media",'Mapa final'!$P$63="Leve"),CONCATENATE("R",'Mapa final'!$E$63),"")</f>
        <v/>
      </c>
      <c r="M22" s="769"/>
      <c r="N22" s="769" t="str">
        <f>IF(AND('Mapa final'!$L$75="Media",'Mapa final'!$P$75="Leve"),CONCATENATE("R",'Mapa final'!$E$75),"")</f>
        <v/>
      </c>
      <c r="O22" s="770"/>
      <c r="P22" s="768" t="str">
        <f ca="1">IF(AND('Mapa final'!$L$9="Media",'Mapa final'!$P$9="Menor"),CONCATENATE("R",'Mapa final'!$E$9),"")</f>
        <v/>
      </c>
      <c r="Q22" s="769"/>
      <c r="R22" s="769" t="str">
        <f ca="1">IF(AND('Mapa final'!$L$63="Media",'Mapa final'!$P$63="Menor"),CONCATENATE("R",'Mapa final'!$E$63),"")</f>
        <v/>
      </c>
      <c r="S22" s="769"/>
      <c r="T22" s="769" t="str">
        <f>IF(AND('Mapa final'!$L$75="Media",'Mapa final'!$P$75="Menor"),CONCATENATE("R",'Mapa final'!$E$75),"")</f>
        <v/>
      </c>
      <c r="U22" s="770"/>
      <c r="V22" s="768" t="str">
        <f ca="1">IF(AND('Mapa final'!$L$9="Media",'Mapa final'!$P$9="Moderado"),CONCATENATE("R",'Mapa final'!$E$9),"")</f>
        <v/>
      </c>
      <c r="W22" s="769"/>
      <c r="X22" s="769" t="str">
        <f ca="1">IF(AND('Mapa final'!$L$63="Media",'Mapa final'!$P$63="Moderado"),CONCATENATE("R",'Mapa final'!$E$63),"")</f>
        <v/>
      </c>
      <c r="Y22" s="769"/>
      <c r="Z22" s="769" t="str">
        <f>IF(AND('Mapa final'!$L$75="Media",'Mapa final'!$P$75="Moderado"),CONCATENATE("R",'Mapa final'!$E$75),"")</f>
        <v/>
      </c>
      <c r="AA22" s="770"/>
      <c r="AB22" s="744" t="str">
        <f ca="1">IF(AND('Mapa final'!$L$9="Media",'Mapa final'!$P$9="Mayor"),CONCATENATE("R",'Mapa final'!$E$9),"")</f>
        <v/>
      </c>
      <c r="AC22" s="745"/>
      <c r="AD22" s="745" t="str">
        <f ca="1">IF(AND('Mapa final'!$L$63="Media",'Mapa final'!$P$63="Mayor"),CONCATENATE("R",'Mapa final'!$E$63),"")</f>
        <v/>
      </c>
      <c r="AE22" s="745"/>
      <c r="AF22" s="745" t="str">
        <f>IF(AND('Mapa final'!$L$75="Media",'Mapa final'!$P$75="Mayor"),CONCATENATE("R",'Mapa final'!$E$75),"")</f>
        <v/>
      </c>
      <c r="AG22" s="747"/>
      <c r="AH22" s="759" t="str">
        <f ca="1">IF(AND('Mapa final'!$L$9="Media",'Mapa final'!$P$9="Catastrófico"),CONCATENATE("R",'Mapa final'!$E$9),"")</f>
        <v/>
      </c>
      <c r="AI22" s="760"/>
      <c r="AJ22" s="760" t="str">
        <f ca="1">IF(AND('Mapa final'!$L$63="Media",'Mapa final'!$P$63="Catastrófico"),CONCATENATE("R",'Mapa final'!$E$63),"")</f>
        <v/>
      </c>
      <c r="AK22" s="760"/>
      <c r="AL22" s="760" t="str">
        <f>IF(AND('Mapa final'!$L$75="Media",'Mapa final'!$P$75="Catastrófico"),CONCATENATE("R",'Mapa final'!$E$75),"")</f>
        <v/>
      </c>
      <c r="AM22" s="761"/>
      <c r="AN22" s="87"/>
      <c r="AO22" s="715" t="s">
        <v>305</v>
      </c>
      <c r="AP22" s="716"/>
      <c r="AQ22" s="716"/>
      <c r="AR22" s="716"/>
      <c r="AS22" s="716"/>
      <c r="AT22" s="717"/>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7"/>
      <c r="BW22" s="87"/>
      <c r="BX22" s="87"/>
      <c r="BY22" s="87"/>
      <c r="BZ22" s="87"/>
      <c r="CA22" s="87"/>
      <c r="CB22" s="87"/>
    </row>
    <row r="23" spans="1:80" x14ac:dyDescent="0.25">
      <c r="A23" s="87"/>
      <c r="B23" s="695"/>
      <c r="C23" s="695"/>
      <c r="D23" s="696"/>
      <c r="E23" s="736"/>
      <c r="F23" s="737"/>
      <c r="G23" s="737"/>
      <c r="H23" s="737"/>
      <c r="I23" s="738"/>
      <c r="J23" s="762"/>
      <c r="K23" s="763"/>
      <c r="L23" s="763"/>
      <c r="M23" s="763"/>
      <c r="N23" s="763"/>
      <c r="O23" s="764"/>
      <c r="P23" s="762"/>
      <c r="Q23" s="763"/>
      <c r="R23" s="763"/>
      <c r="S23" s="763"/>
      <c r="T23" s="763"/>
      <c r="U23" s="764"/>
      <c r="V23" s="762"/>
      <c r="W23" s="763"/>
      <c r="X23" s="763"/>
      <c r="Y23" s="763"/>
      <c r="Z23" s="763"/>
      <c r="AA23" s="764"/>
      <c r="AB23" s="746"/>
      <c r="AC23" s="742"/>
      <c r="AD23" s="742"/>
      <c r="AE23" s="742"/>
      <c r="AF23" s="742"/>
      <c r="AG23" s="743"/>
      <c r="AH23" s="753"/>
      <c r="AI23" s="754"/>
      <c r="AJ23" s="754"/>
      <c r="AK23" s="754"/>
      <c r="AL23" s="754"/>
      <c r="AM23" s="755"/>
      <c r="AN23" s="87"/>
      <c r="AO23" s="718"/>
      <c r="AP23" s="719"/>
      <c r="AQ23" s="719"/>
      <c r="AR23" s="719"/>
      <c r="AS23" s="719"/>
      <c r="AT23" s="720"/>
      <c r="AU23" s="87"/>
      <c r="AV23" s="87"/>
      <c r="AW23" s="87"/>
      <c r="AX23" s="87"/>
      <c r="AY23" s="87"/>
      <c r="AZ23" s="87"/>
      <c r="BA23" s="87"/>
      <c r="BB23" s="87"/>
      <c r="BC23" s="87"/>
      <c r="BD23" s="87"/>
      <c r="BE23" s="87"/>
      <c r="BF23" s="87"/>
      <c r="BG23" s="87"/>
      <c r="BH23" s="87"/>
      <c r="BI23" s="87"/>
      <c r="BJ23" s="87"/>
      <c r="BK23" s="87"/>
      <c r="BL23" s="87"/>
      <c r="BM23" s="87"/>
      <c r="BN23" s="87"/>
      <c r="BO23" s="87"/>
      <c r="BP23" s="87"/>
      <c r="BQ23" s="87"/>
      <c r="BR23" s="87"/>
      <c r="BS23" s="87"/>
      <c r="BT23" s="87"/>
      <c r="BU23" s="87"/>
      <c r="BV23" s="87"/>
      <c r="BW23" s="87"/>
      <c r="BX23" s="87"/>
      <c r="BY23" s="87"/>
      <c r="BZ23" s="87"/>
      <c r="CA23" s="87"/>
      <c r="CB23" s="87"/>
    </row>
    <row r="24" spans="1:80" x14ac:dyDescent="0.25">
      <c r="A24" s="87"/>
      <c r="B24" s="695"/>
      <c r="C24" s="695"/>
      <c r="D24" s="696"/>
      <c r="E24" s="736"/>
      <c r="F24" s="737"/>
      <c r="G24" s="737"/>
      <c r="H24" s="737"/>
      <c r="I24" s="738"/>
      <c r="J24" s="762" t="str">
        <f>IF(AND('Mapa final'!$L$81="Media",'Mapa final'!$P$81="Leve"),CONCATENATE("R",'Mapa final'!$E$81),"")</f>
        <v/>
      </c>
      <c r="K24" s="763"/>
      <c r="L24" s="763" t="str">
        <f ca="1">IF(AND('Mapa final'!$L$89="Media",'Mapa final'!$P$89="Leve"),CONCATENATE("R",'Mapa final'!$E$89),"")</f>
        <v/>
      </c>
      <c r="M24" s="763"/>
      <c r="N24" s="763" t="e">
        <f>IF(AND('Mapa final'!#REF!="Media",'Mapa final'!#REF!="Leve"),CONCATENATE("R",'Mapa final'!#REF!),"")</f>
        <v>#REF!</v>
      </c>
      <c r="O24" s="764"/>
      <c r="P24" s="762" t="str">
        <f>IF(AND('Mapa final'!$L$81="Media",'Mapa final'!$P$81="Menor"),CONCATENATE("R",'Mapa final'!$E$81),"")</f>
        <v/>
      </c>
      <c r="Q24" s="763"/>
      <c r="R24" s="763" t="str">
        <f ca="1">IF(AND('Mapa final'!$L$89="Media",'Mapa final'!$P$89="Menor"),CONCATENATE("R",'Mapa final'!$E$89),"")</f>
        <v/>
      </c>
      <c r="S24" s="763"/>
      <c r="T24" s="763" t="e">
        <f>IF(AND('Mapa final'!#REF!="Media",'Mapa final'!#REF!="Menor"),CONCATENATE("R",'Mapa final'!#REF!),"")</f>
        <v>#REF!</v>
      </c>
      <c r="U24" s="764"/>
      <c r="V24" s="762" t="str">
        <f>IF(AND('Mapa final'!$L$81="Media",'Mapa final'!$P$81="Moderado"),CONCATENATE("R",'Mapa final'!$E$81),"")</f>
        <v/>
      </c>
      <c r="W24" s="763"/>
      <c r="X24" s="763" t="str">
        <f ca="1">IF(AND('Mapa final'!$L$89="Media",'Mapa final'!$P$89="Moderado"),CONCATENATE("R",'Mapa final'!$E$89),"")</f>
        <v/>
      </c>
      <c r="Y24" s="763"/>
      <c r="Z24" s="763" t="e">
        <f>IF(AND('Mapa final'!#REF!="Media",'Mapa final'!#REF!="Moderado"),CONCATENATE("R",'Mapa final'!#REF!),"")</f>
        <v>#REF!</v>
      </c>
      <c r="AA24" s="764"/>
      <c r="AB24" s="746" t="str">
        <f>IF(AND('Mapa final'!$L$81="Media",'Mapa final'!$P$81="Mayor"),CONCATENATE("R",'Mapa final'!$E$81),"")</f>
        <v/>
      </c>
      <c r="AC24" s="742"/>
      <c r="AD24" s="742" t="str">
        <f ca="1">IF(AND('Mapa final'!$L$89="Media",'Mapa final'!$P$89="Mayor"),CONCATENATE("R",'Mapa final'!$E$89),"")</f>
        <v/>
      </c>
      <c r="AE24" s="742"/>
      <c r="AF24" s="742" t="e">
        <f>IF(AND('Mapa final'!#REF!="Media",'Mapa final'!#REF!="Mayor"),CONCATENATE("R",'Mapa final'!#REF!),"")</f>
        <v>#REF!</v>
      </c>
      <c r="AG24" s="743"/>
      <c r="AH24" s="753" t="str">
        <f>IF(AND('Mapa final'!$L$81="Media",'Mapa final'!$P$81="Catastrófico"),CONCATENATE("R",'Mapa final'!$E$81),"")</f>
        <v/>
      </c>
      <c r="AI24" s="754"/>
      <c r="AJ24" s="754" t="str">
        <f ca="1">IF(AND('Mapa final'!$L$89="Media",'Mapa final'!$P$89="Catastrófico"),CONCATENATE("R",'Mapa final'!$E$89),"")</f>
        <v/>
      </c>
      <c r="AK24" s="754"/>
      <c r="AL24" s="754" t="e">
        <f>IF(AND('Mapa final'!#REF!="Media",'Mapa final'!#REF!="Catastrófico"),CONCATENATE("R",'Mapa final'!#REF!),"")</f>
        <v>#REF!</v>
      </c>
      <c r="AM24" s="755"/>
      <c r="AN24" s="87"/>
      <c r="AO24" s="718"/>
      <c r="AP24" s="719"/>
      <c r="AQ24" s="719"/>
      <c r="AR24" s="719"/>
      <c r="AS24" s="719"/>
      <c r="AT24" s="720"/>
      <c r="AU24" s="87"/>
      <c r="AV24" s="87"/>
      <c r="AW24" s="87"/>
      <c r="AX24" s="87"/>
      <c r="AY24" s="87"/>
      <c r="AZ24" s="87"/>
      <c r="BA24" s="87"/>
      <c r="BB24" s="87"/>
      <c r="BC24" s="87"/>
      <c r="BD24" s="87"/>
      <c r="BE24" s="87"/>
      <c r="BF24" s="87"/>
      <c r="BG24" s="87"/>
      <c r="BH24" s="87"/>
      <c r="BI24" s="87"/>
      <c r="BJ24" s="87"/>
      <c r="BK24" s="87"/>
      <c r="BL24" s="87"/>
      <c r="BM24" s="87"/>
      <c r="BN24" s="87"/>
      <c r="BO24" s="87"/>
      <c r="BP24" s="87"/>
      <c r="BQ24" s="87"/>
      <c r="BR24" s="87"/>
      <c r="BS24" s="87"/>
      <c r="BT24" s="87"/>
      <c r="BU24" s="87"/>
      <c r="BV24" s="87"/>
      <c r="BW24" s="87"/>
      <c r="BX24" s="87"/>
      <c r="BY24" s="87"/>
      <c r="BZ24" s="87"/>
      <c r="CA24" s="87"/>
      <c r="CB24" s="87"/>
    </row>
    <row r="25" spans="1:80" x14ac:dyDescent="0.25">
      <c r="A25" s="87"/>
      <c r="B25" s="695"/>
      <c r="C25" s="695"/>
      <c r="D25" s="696"/>
      <c r="E25" s="736"/>
      <c r="F25" s="737"/>
      <c r="G25" s="737"/>
      <c r="H25" s="737"/>
      <c r="I25" s="738"/>
      <c r="J25" s="762"/>
      <c r="K25" s="763"/>
      <c r="L25" s="763"/>
      <c r="M25" s="763"/>
      <c r="N25" s="763"/>
      <c r="O25" s="764"/>
      <c r="P25" s="762"/>
      <c r="Q25" s="763"/>
      <c r="R25" s="763"/>
      <c r="S25" s="763"/>
      <c r="T25" s="763"/>
      <c r="U25" s="764"/>
      <c r="V25" s="762"/>
      <c r="W25" s="763"/>
      <c r="X25" s="763"/>
      <c r="Y25" s="763"/>
      <c r="Z25" s="763"/>
      <c r="AA25" s="764"/>
      <c r="AB25" s="746"/>
      <c r="AC25" s="742"/>
      <c r="AD25" s="742"/>
      <c r="AE25" s="742"/>
      <c r="AF25" s="742"/>
      <c r="AG25" s="743"/>
      <c r="AH25" s="753"/>
      <c r="AI25" s="754"/>
      <c r="AJ25" s="754"/>
      <c r="AK25" s="754"/>
      <c r="AL25" s="754"/>
      <c r="AM25" s="755"/>
      <c r="AN25" s="87"/>
      <c r="AO25" s="718"/>
      <c r="AP25" s="719"/>
      <c r="AQ25" s="719"/>
      <c r="AR25" s="719"/>
      <c r="AS25" s="719"/>
      <c r="AT25" s="720"/>
      <c r="AU25" s="87"/>
      <c r="AV25" s="87"/>
      <c r="AW25" s="87"/>
      <c r="AX25" s="87"/>
      <c r="AY25" s="87"/>
      <c r="AZ25" s="87"/>
      <c r="BA25" s="87"/>
      <c r="BB25" s="87"/>
      <c r="BC25" s="87"/>
      <c r="BD25" s="87"/>
      <c r="BE25" s="87"/>
      <c r="BF25" s="87"/>
      <c r="BG25" s="87"/>
      <c r="BH25" s="87"/>
      <c r="BI25" s="87"/>
      <c r="BJ25" s="87"/>
      <c r="BK25" s="87"/>
      <c r="BL25" s="87"/>
      <c r="BM25" s="87"/>
      <c r="BN25" s="87"/>
      <c r="BO25" s="87"/>
      <c r="BP25" s="87"/>
      <c r="BQ25" s="87"/>
      <c r="BR25" s="87"/>
      <c r="BS25" s="87"/>
      <c r="BT25" s="87"/>
      <c r="BU25" s="87"/>
      <c r="BV25" s="87"/>
      <c r="BW25" s="87"/>
      <c r="BX25" s="87"/>
      <c r="BY25" s="87"/>
      <c r="BZ25" s="87"/>
      <c r="CA25" s="87"/>
      <c r="CB25" s="87"/>
    </row>
    <row r="26" spans="1:80" x14ac:dyDescent="0.25">
      <c r="A26" s="87"/>
      <c r="B26" s="695"/>
      <c r="C26" s="695"/>
      <c r="D26" s="696"/>
      <c r="E26" s="736"/>
      <c r="F26" s="737"/>
      <c r="G26" s="737"/>
      <c r="H26" s="737"/>
      <c r="I26" s="738"/>
      <c r="J26" s="762" t="e">
        <f>IF(AND('Mapa final'!#REF!="Media",'Mapa final'!#REF!="Leve"),CONCATENATE("R",'Mapa final'!#REF!),"")</f>
        <v>#REF!</v>
      </c>
      <c r="K26" s="763"/>
      <c r="L26" s="763" t="e">
        <f>IF(AND('Mapa final'!#REF!="Media",'Mapa final'!#REF!="Leve"),CONCATENATE("R",'Mapa final'!#REF!),"")</f>
        <v>#REF!</v>
      </c>
      <c r="M26" s="763"/>
      <c r="N26" s="763" t="e">
        <f>IF(AND('Mapa final'!#REF!="Media",'Mapa final'!#REF!="Leve"),CONCATENATE("R",'Mapa final'!#REF!),"")</f>
        <v>#REF!</v>
      </c>
      <c r="O26" s="764"/>
      <c r="P26" s="762" t="e">
        <f>IF(AND('Mapa final'!#REF!="Media",'Mapa final'!#REF!="Menor"),CONCATENATE("R",'Mapa final'!#REF!),"")</f>
        <v>#REF!</v>
      </c>
      <c r="Q26" s="763"/>
      <c r="R26" s="763" t="e">
        <f>IF(AND('Mapa final'!#REF!="Media",'Mapa final'!#REF!="Menor"),CONCATENATE("R",'Mapa final'!#REF!),"")</f>
        <v>#REF!</v>
      </c>
      <c r="S26" s="763"/>
      <c r="T26" s="763" t="e">
        <f>IF(AND('Mapa final'!#REF!="Media",'Mapa final'!#REF!="Menor"),CONCATENATE("R",'Mapa final'!#REF!),"")</f>
        <v>#REF!</v>
      </c>
      <c r="U26" s="764"/>
      <c r="V26" s="762" t="e">
        <f>IF(AND('Mapa final'!#REF!="Media",'Mapa final'!#REF!="Moderado"),CONCATENATE("R",'Mapa final'!#REF!),"")</f>
        <v>#REF!</v>
      </c>
      <c r="W26" s="763"/>
      <c r="X26" s="763" t="e">
        <f>IF(AND('Mapa final'!#REF!="Media",'Mapa final'!#REF!="Moderado"),CONCATENATE("R",'Mapa final'!#REF!),"")</f>
        <v>#REF!</v>
      </c>
      <c r="Y26" s="763"/>
      <c r="Z26" s="763" t="e">
        <f>IF(AND('Mapa final'!#REF!="Media",'Mapa final'!#REF!="Moderado"),CONCATENATE("R",'Mapa final'!#REF!),"")</f>
        <v>#REF!</v>
      </c>
      <c r="AA26" s="764"/>
      <c r="AB26" s="746" t="e">
        <f>IF(AND('Mapa final'!#REF!="Media",'Mapa final'!#REF!="Mayor"),CONCATENATE("R",'Mapa final'!#REF!),"")</f>
        <v>#REF!</v>
      </c>
      <c r="AC26" s="742"/>
      <c r="AD26" s="742" t="e">
        <f>IF(AND('Mapa final'!#REF!="Media",'Mapa final'!#REF!="Mayor"),CONCATENATE("R",'Mapa final'!#REF!),"")</f>
        <v>#REF!</v>
      </c>
      <c r="AE26" s="742"/>
      <c r="AF26" s="742" t="e">
        <f>IF(AND('Mapa final'!#REF!="Media",'Mapa final'!#REF!="Mayor"),CONCATENATE("R",'Mapa final'!#REF!),"")</f>
        <v>#REF!</v>
      </c>
      <c r="AG26" s="743"/>
      <c r="AH26" s="753" t="e">
        <f>IF(AND('Mapa final'!#REF!="Media",'Mapa final'!#REF!="Catastrófico"),CONCATENATE("R",'Mapa final'!#REF!),"")</f>
        <v>#REF!</v>
      </c>
      <c r="AI26" s="754"/>
      <c r="AJ26" s="754" t="e">
        <f>IF(AND('Mapa final'!#REF!="Media",'Mapa final'!#REF!="Catastrófico"),CONCATENATE("R",'Mapa final'!#REF!),"")</f>
        <v>#REF!</v>
      </c>
      <c r="AK26" s="754"/>
      <c r="AL26" s="754" t="e">
        <f>IF(AND('Mapa final'!#REF!="Media",'Mapa final'!#REF!="Catastrófico"),CONCATENATE("R",'Mapa final'!#REF!),"")</f>
        <v>#REF!</v>
      </c>
      <c r="AM26" s="755"/>
      <c r="AN26" s="87"/>
      <c r="AO26" s="718"/>
      <c r="AP26" s="719"/>
      <c r="AQ26" s="719"/>
      <c r="AR26" s="719"/>
      <c r="AS26" s="719"/>
      <c r="AT26" s="720"/>
      <c r="AU26" s="87"/>
      <c r="AV26" s="87"/>
      <c r="AW26" s="87"/>
      <c r="AX26" s="87"/>
      <c r="AY26" s="87"/>
      <c r="AZ26" s="87"/>
      <c r="BA26" s="87"/>
      <c r="BB26" s="87"/>
      <c r="BC26" s="87"/>
      <c r="BD26" s="87"/>
      <c r="BE26" s="87"/>
      <c r="BF26" s="87"/>
      <c r="BG26" s="87"/>
      <c r="BH26" s="87"/>
      <c r="BI26" s="87"/>
      <c r="BJ26" s="87"/>
      <c r="BK26" s="87"/>
      <c r="BL26" s="87"/>
      <c r="BM26" s="87"/>
      <c r="BN26" s="87"/>
      <c r="BO26" s="87"/>
      <c r="BP26" s="87"/>
      <c r="BQ26" s="87"/>
      <c r="BR26" s="87"/>
      <c r="BS26" s="87"/>
      <c r="BT26" s="87"/>
      <c r="BU26" s="87"/>
      <c r="BV26" s="87"/>
      <c r="BW26" s="87"/>
      <c r="BX26" s="87"/>
      <c r="BY26" s="87"/>
      <c r="BZ26" s="87"/>
      <c r="CA26" s="87"/>
      <c r="CB26" s="87"/>
    </row>
    <row r="27" spans="1:80" x14ac:dyDescent="0.25">
      <c r="A27" s="87"/>
      <c r="B27" s="695"/>
      <c r="C27" s="695"/>
      <c r="D27" s="696"/>
      <c r="E27" s="736"/>
      <c r="F27" s="737"/>
      <c r="G27" s="737"/>
      <c r="H27" s="737"/>
      <c r="I27" s="738"/>
      <c r="J27" s="762"/>
      <c r="K27" s="763"/>
      <c r="L27" s="763"/>
      <c r="M27" s="763"/>
      <c r="N27" s="763"/>
      <c r="O27" s="764"/>
      <c r="P27" s="762"/>
      <c r="Q27" s="763"/>
      <c r="R27" s="763"/>
      <c r="S27" s="763"/>
      <c r="T27" s="763"/>
      <c r="U27" s="764"/>
      <c r="V27" s="762"/>
      <c r="W27" s="763"/>
      <c r="X27" s="763"/>
      <c r="Y27" s="763"/>
      <c r="Z27" s="763"/>
      <c r="AA27" s="764"/>
      <c r="AB27" s="746"/>
      <c r="AC27" s="742"/>
      <c r="AD27" s="742"/>
      <c r="AE27" s="742"/>
      <c r="AF27" s="742"/>
      <c r="AG27" s="743"/>
      <c r="AH27" s="753"/>
      <c r="AI27" s="754"/>
      <c r="AJ27" s="754"/>
      <c r="AK27" s="754"/>
      <c r="AL27" s="754"/>
      <c r="AM27" s="755"/>
      <c r="AN27" s="87"/>
      <c r="AO27" s="718"/>
      <c r="AP27" s="719"/>
      <c r="AQ27" s="719"/>
      <c r="AR27" s="719"/>
      <c r="AS27" s="719"/>
      <c r="AT27" s="720"/>
      <c r="AU27" s="87"/>
      <c r="AV27" s="87"/>
      <c r="AW27" s="87"/>
      <c r="AX27" s="87"/>
      <c r="AY27" s="87"/>
      <c r="AZ27" s="87"/>
      <c r="BA27" s="87"/>
      <c r="BB27" s="87"/>
      <c r="BC27" s="87"/>
      <c r="BD27" s="87"/>
      <c r="BE27" s="87"/>
      <c r="BF27" s="87"/>
      <c r="BG27" s="87"/>
      <c r="BH27" s="87"/>
      <c r="BI27" s="87"/>
      <c r="BJ27" s="87"/>
      <c r="BK27" s="87"/>
      <c r="BL27" s="87"/>
      <c r="BM27" s="87"/>
      <c r="BN27" s="87"/>
      <c r="BO27" s="87"/>
      <c r="BP27" s="87"/>
      <c r="BQ27" s="87"/>
      <c r="BR27" s="87"/>
      <c r="BS27" s="87"/>
      <c r="BT27" s="87"/>
      <c r="BU27" s="87"/>
      <c r="BV27" s="87"/>
      <c r="BW27" s="87"/>
      <c r="BX27" s="87"/>
      <c r="BY27" s="87"/>
      <c r="BZ27" s="87"/>
      <c r="CA27" s="87"/>
      <c r="CB27" s="87"/>
    </row>
    <row r="28" spans="1:80" x14ac:dyDescent="0.25">
      <c r="A28" s="87"/>
      <c r="B28" s="695"/>
      <c r="C28" s="695"/>
      <c r="D28" s="696"/>
      <c r="E28" s="736"/>
      <c r="F28" s="737"/>
      <c r="G28" s="737"/>
      <c r="H28" s="737"/>
      <c r="I28" s="738"/>
      <c r="J28" s="762" t="e">
        <f>IF(AND('Mapa final'!#REF!="Media",'Mapa final'!#REF!="Leve"),CONCATENATE("R",'Mapa final'!#REF!),"")</f>
        <v>#REF!</v>
      </c>
      <c r="K28" s="763"/>
      <c r="L28" s="763" t="str">
        <f>IF(AND('Mapa final'!$L$96="Media",'Mapa final'!$P$96="Leve"),CONCATENATE("R",'Mapa final'!$E$96),"")</f>
        <v/>
      </c>
      <c r="M28" s="763"/>
      <c r="N28" s="763" t="str">
        <f>IF(AND('Mapa final'!$L$102="Media",'Mapa final'!$P$102="Leve"),CONCATENATE("R",'Mapa final'!$E$102),"")</f>
        <v/>
      </c>
      <c r="O28" s="764"/>
      <c r="P28" s="762" t="e">
        <f>IF(AND('Mapa final'!#REF!="Media",'Mapa final'!#REF!="Menor"),CONCATENATE("R",'Mapa final'!#REF!),"")</f>
        <v>#REF!</v>
      </c>
      <c r="Q28" s="763"/>
      <c r="R28" s="763" t="str">
        <f>IF(AND('Mapa final'!$L$96="Media",'Mapa final'!$P$96="Menor"),CONCATENATE("R",'Mapa final'!$E$96),"")</f>
        <v/>
      </c>
      <c r="S28" s="763"/>
      <c r="T28" s="763" t="str">
        <f>IF(AND('Mapa final'!$L$102="Media",'Mapa final'!$P$102="Menor"),CONCATENATE("R",'Mapa final'!$E$102),"")</f>
        <v/>
      </c>
      <c r="U28" s="764"/>
      <c r="V28" s="762" t="e">
        <f>IF(AND('Mapa final'!#REF!="Media",'Mapa final'!#REF!="Moderado"),CONCATENATE("R",'Mapa final'!#REF!),"")</f>
        <v>#REF!</v>
      </c>
      <c r="W28" s="763"/>
      <c r="X28" s="763" t="str">
        <f>IF(AND('Mapa final'!$L$96="Media",'Mapa final'!$P$96="Moderado"),CONCATENATE("R",'Mapa final'!$E$96),"")</f>
        <v/>
      </c>
      <c r="Y28" s="763"/>
      <c r="Z28" s="763" t="str">
        <f>IF(AND('Mapa final'!$L$102="Media",'Mapa final'!$P$102="Moderado"),CONCATENATE("R",'Mapa final'!$E$102),"")</f>
        <v/>
      </c>
      <c r="AA28" s="764"/>
      <c r="AB28" s="746" t="e">
        <f>IF(AND('Mapa final'!#REF!="Media",'Mapa final'!#REF!="Mayor"),CONCATENATE("R",'Mapa final'!#REF!),"")</f>
        <v>#REF!</v>
      </c>
      <c r="AC28" s="742"/>
      <c r="AD28" s="742" t="str">
        <f>IF(AND('Mapa final'!$L$96="Media",'Mapa final'!$P$96="Mayor"),CONCATENATE("R",'Mapa final'!$E$96),"")</f>
        <v/>
      </c>
      <c r="AE28" s="742"/>
      <c r="AF28" s="742" t="str">
        <f>IF(AND('Mapa final'!$L$102="Media",'Mapa final'!$P$102="Mayor"),CONCATENATE("R",'Mapa final'!$E$102),"")</f>
        <v/>
      </c>
      <c r="AG28" s="743"/>
      <c r="AH28" s="753" t="e">
        <f>IF(AND('Mapa final'!#REF!="Media",'Mapa final'!#REF!="Catastrófico"),CONCATENATE("R",'Mapa final'!#REF!),"")</f>
        <v>#REF!</v>
      </c>
      <c r="AI28" s="754"/>
      <c r="AJ28" s="754" t="str">
        <f>IF(AND('Mapa final'!$L$96="Media",'Mapa final'!$P$96="Catastrófico"),CONCATENATE("R",'Mapa final'!$E$96),"")</f>
        <v/>
      </c>
      <c r="AK28" s="754"/>
      <c r="AL28" s="754" t="str">
        <f>IF(AND('Mapa final'!$L$102="Media",'Mapa final'!$P$102="Catastrófico"),CONCATENATE("R",'Mapa final'!$E$102),"")</f>
        <v/>
      </c>
      <c r="AM28" s="755"/>
      <c r="AN28" s="87"/>
      <c r="AO28" s="718"/>
      <c r="AP28" s="719"/>
      <c r="AQ28" s="719"/>
      <c r="AR28" s="719"/>
      <c r="AS28" s="719"/>
      <c r="AT28" s="720"/>
      <c r="AU28" s="87"/>
      <c r="AV28" s="87"/>
      <c r="AW28" s="87"/>
      <c r="AX28" s="87"/>
      <c r="AY28" s="87"/>
      <c r="AZ28" s="87"/>
      <c r="BA28" s="87"/>
      <c r="BB28" s="87"/>
      <c r="BC28" s="87"/>
      <c r="BD28" s="87"/>
      <c r="BE28" s="87"/>
      <c r="BF28" s="87"/>
      <c r="BG28" s="87"/>
      <c r="BH28" s="87"/>
      <c r="BI28" s="87"/>
      <c r="BJ28" s="87"/>
      <c r="BK28" s="87"/>
      <c r="BL28" s="87"/>
      <c r="BM28" s="87"/>
      <c r="BN28" s="87"/>
      <c r="BO28" s="87"/>
      <c r="BP28" s="87"/>
      <c r="BQ28" s="87"/>
      <c r="BR28" s="87"/>
      <c r="BS28" s="87"/>
      <c r="BT28" s="87"/>
      <c r="BU28" s="87"/>
      <c r="BV28" s="87"/>
      <c r="BW28" s="87"/>
      <c r="BX28" s="87"/>
      <c r="BY28" s="87"/>
      <c r="BZ28" s="87"/>
      <c r="CA28" s="87"/>
      <c r="CB28" s="87"/>
    </row>
    <row r="29" spans="1:80" ht="15.75" thickBot="1" x14ac:dyDescent="0.3">
      <c r="A29" s="87"/>
      <c r="B29" s="695"/>
      <c r="C29" s="695"/>
      <c r="D29" s="696"/>
      <c r="E29" s="739"/>
      <c r="F29" s="740"/>
      <c r="G29" s="740"/>
      <c r="H29" s="740"/>
      <c r="I29" s="741"/>
      <c r="J29" s="762"/>
      <c r="K29" s="763"/>
      <c r="L29" s="763"/>
      <c r="M29" s="763"/>
      <c r="N29" s="763"/>
      <c r="O29" s="764"/>
      <c r="P29" s="765"/>
      <c r="Q29" s="766"/>
      <c r="R29" s="766"/>
      <c r="S29" s="766"/>
      <c r="T29" s="766"/>
      <c r="U29" s="767"/>
      <c r="V29" s="765"/>
      <c r="W29" s="766"/>
      <c r="X29" s="766"/>
      <c r="Y29" s="766"/>
      <c r="Z29" s="766"/>
      <c r="AA29" s="767"/>
      <c r="AB29" s="750"/>
      <c r="AC29" s="751"/>
      <c r="AD29" s="751"/>
      <c r="AE29" s="751"/>
      <c r="AF29" s="751"/>
      <c r="AG29" s="752"/>
      <c r="AH29" s="756"/>
      <c r="AI29" s="757"/>
      <c r="AJ29" s="757"/>
      <c r="AK29" s="757"/>
      <c r="AL29" s="757"/>
      <c r="AM29" s="758"/>
      <c r="AN29" s="87"/>
      <c r="AO29" s="721"/>
      <c r="AP29" s="722"/>
      <c r="AQ29" s="722"/>
      <c r="AR29" s="722"/>
      <c r="AS29" s="722"/>
      <c r="AT29" s="723"/>
      <c r="AU29" s="87"/>
      <c r="AV29" s="87"/>
      <c r="AW29" s="87"/>
      <c r="AX29" s="87"/>
      <c r="AY29" s="87"/>
      <c r="AZ29" s="87"/>
      <c r="BA29" s="87"/>
      <c r="BB29" s="87"/>
      <c r="BC29" s="87"/>
      <c r="BD29" s="87"/>
      <c r="BE29" s="87"/>
      <c r="BF29" s="87"/>
      <c r="BG29" s="87"/>
      <c r="BH29" s="87"/>
      <c r="BI29" s="87"/>
      <c r="BJ29" s="87"/>
      <c r="BK29" s="87"/>
      <c r="BL29" s="87"/>
      <c r="BM29" s="87"/>
      <c r="BN29" s="87"/>
      <c r="BO29" s="87"/>
      <c r="BP29" s="87"/>
      <c r="BQ29" s="87"/>
      <c r="BR29" s="87"/>
      <c r="BS29" s="87"/>
      <c r="BT29" s="87"/>
      <c r="BU29" s="87"/>
      <c r="BV29" s="87"/>
      <c r="BW29" s="87"/>
      <c r="BX29" s="87"/>
      <c r="BY29" s="87"/>
      <c r="BZ29" s="87"/>
      <c r="CA29" s="87"/>
      <c r="CB29" s="87"/>
    </row>
    <row r="30" spans="1:80" x14ac:dyDescent="0.25">
      <c r="A30" s="87"/>
      <c r="B30" s="695"/>
      <c r="C30" s="695"/>
      <c r="D30" s="696"/>
      <c r="E30" s="733" t="s">
        <v>465</v>
      </c>
      <c r="F30" s="734"/>
      <c r="G30" s="734"/>
      <c r="H30" s="734"/>
      <c r="I30" s="734"/>
      <c r="J30" s="777" t="str">
        <f ca="1">IF(AND('Mapa final'!$L$9="Baja",'Mapa final'!$P$9="Leve"),CONCATENATE("R",'Mapa final'!$E$9),"")</f>
        <v/>
      </c>
      <c r="K30" s="778"/>
      <c r="L30" s="778" t="str">
        <f ca="1">IF(AND('Mapa final'!$L$63="Baja",'Mapa final'!$P$63="Leve"),CONCATENATE("R",'Mapa final'!$E$63),"")</f>
        <v/>
      </c>
      <c r="M30" s="778"/>
      <c r="N30" s="778" t="str">
        <f>IF(AND('Mapa final'!$L$75="Baja",'Mapa final'!$P$75="Leve"),CONCATENATE("R",'Mapa final'!$E$75),"")</f>
        <v/>
      </c>
      <c r="O30" s="779"/>
      <c r="P30" s="769" t="str">
        <f ca="1">IF(AND('Mapa final'!$L$9="Baja",'Mapa final'!$P$9="Menor"),CONCATENATE("R",'Mapa final'!$E$9),"")</f>
        <v/>
      </c>
      <c r="Q30" s="769"/>
      <c r="R30" s="769" t="str">
        <f ca="1">IF(AND('Mapa final'!$L$63="Baja",'Mapa final'!$P$63="Menor"),CONCATENATE("R",'Mapa final'!$E$63),"")</f>
        <v/>
      </c>
      <c r="S30" s="769"/>
      <c r="T30" s="769" t="str">
        <f>IF(AND('Mapa final'!$L$75="Baja",'Mapa final'!$P$75="Menor"),CONCATENATE("R",'Mapa final'!$E$75),"")</f>
        <v/>
      </c>
      <c r="U30" s="770"/>
      <c r="V30" s="768" t="str">
        <f ca="1">IF(AND('Mapa final'!$L$9="Baja",'Mapa final'!$P$9="Moderado"),CONCATENATE("R",'Mapa final'!$E$9),"")</f>
        <v/>
      </c>
      <c r="W30" s="769"/>
      <c r="X30" s="769" t="str">
        <f ca="1">IF(AND('Mapa final'!$L$63="Baja",'Mapa final'!$P$63="Moderado"),CONCATENATE("R",'Mapa final'!$E$63),"")</f>
        <v/>
      </c>
      <c r="Y30" s="769"/>
      <c r="Z30" s="769" t="str">
        <f>IF(AND('Mapa final'!$L$75="Baja",'Mapa final'!$P$75="Moderado"),CONCATENATE("R",'Mapa final'!$E$75),"")</f>
        <v/>
      </c>
      <c r="AA30" s="770"/>
      <c r="AB30" s="744" t="str">
        <f ca="1">IF(AND('Mapa final'!$L$9="Baja",'Mapa final'!$P$9="Mayor"),CONCATENATE("R",'Mapa final'!$E$9),"")</f>
        <v/>
      </c>
      <c r="AC30" s="745"/>
      <c r="AD30" s="745" t="str">
        <f ca="1">IF(AND('Mapa final'!$L$63="Baja",'Mapa final'!$P$63="Mayor"),CONCATENATE("R",'Mapa final'!$E$63),"")</f>
        <v/>
      </c>
      <c r="AE30" s="745"/>
      <c r="AF30" s="745" t="str">
        <f>IF(AND('Mapa final'!$L$75="Baja",'Mapa final'!$P$75="Mayor"),CONCATENATE("R",'Mapa final'!$E$75),"")</f>
        <v/>
      </c>
      <c r="AG30" s="747"/>
      <c r="AH30" s="759" t="str">
        <f ca="1">IF(AND('Mapa final'!$L$9="Baja",'Mapa final'!$P$9="Catastrófico"),CONCATENATE("R",'Mapa final'!$E$9),"")</f>
        <v/>
      </c>
      <c r="AI30" s="760"/>
      <c r="AJ30" s="760" t="str">
        <f ca="1">IF(AND('Mapa final'!$L$63="Baja",'Mapa final'!$P$63="Catastrófico"),CONCATENATE("R",'Mapa final'!$E$63),"")</f>
        <v/>
      </c>
      <c r="AK30" s="760"/>
      <c r="AL30" s="760" t="str">
        <f>IF(AND('Mapa final'!$L$75="Baja",'Mapa final'!$P$75="Catastrófico"),CONCATENATE("R",'Mapa final'!$E$75),"")</f>
        <v/>
      </c>
      <c r="AM30" s="761"/>
      <c r="AN30" s="87"/>
      <c r="AO30" s="724" t="s">
        <v>466</v>
      </c>
      <c r="AP30" s="725"/>
      <c r="AQ30" s="725"/>
      <c r="AR30" s="725"/>
      <c r="AS30" s="725"/>
      <c r="AT30" s="726"/>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row>
    <row r="31" spans="1:80" x14ac:dyDescent="0.25">
      <c r="A31" s="87"/>
      <c r="B31" s="695"/>
      <c r="C31" s="695"/>
      <c r="D31" s="696"/>
      <c r="E31" s="736"/>
      <c r="F31" s="737"/>
      <c r="G31" s="737"/>
      <c r="H31" s="737"/>
      <c r="I31" s="737"/>
      <c r="J31" s="773"/>
      <c r="K31" s="771"/>
      <c r="L31" s="771"/>
      <c r="M31" s="771"/>
      <c r="N31" s="771"/>
      <c r="O31" s="772"/>
      <c r="P31" s="763"/>
      <c r="Q31" s="763"/>
      <c r="R31" s="763"/>
      <c r="S31" s="763"/>
      <c r="T31" s="763"/>
      <c r="U31" s="764"/>
      <c r="V31" s="762"/>
      <c r="W31" s="763"/>
      <c r="X31" s="763"/>
      <c r="Y31" s="763"/>
      <c r="Z31" s="763"/>
      <c r="AA31" s="764"/>
      <c r="AB31" s="746"/>
      <c r="AC31" s="742"/>
      <c r="AD31" s="742"/>
      <c r="AE31" s="742"/>
      <c r="AF31" s="742"/>
      <c r="AG31" s="743"/>
      <c r="AH31" s="753"/>
      <c r="AI31" s="754"/>
      <c r="AJ31" s="754"/>
      <c r="AK31" s="754"/>
      <c r="AL31" s="754"/>
      <c r="AM31" s="755"/>
      <c r="AN31" s="87"/>
      <c r="AO31" s="727"/>
      <c r="AP31" s="728"/>
      <c r="AQ31" s="728"/>
      <c r="AR31" s="728"/>
      <c r="AS31" s="728"/>
      <c r="AT31" s="729"/>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row>
    <row r="32" spans="1:80" x14ac:dyDescent="0.25">
      <c r="A32" s="87"/>
      <c r="B32" s="695"/>
      <c r="C32" s="695"/>
      <c r="D32" s="696"/>
      <c r="E32" s="736"/>
      <c r="F32" s="737"/>
      <c r="G32" s="737"/>
      <c r="H32" s="737"/>
      <c r="I32" s="737"/>
      <c r="J32" s="773" t="str">
        <f>IF(AND('Mapa final'!$L$81="Baja",'Mapa final'!$P$81="Leve"),CONCATENATE("R",'Mapa final'!$E$81),"")</f>
        <v/>
      </c>
      <c r="K32" s="771"/>
      <c r="L32" s="771" t="str">
        <f ca="1">IF(AND('Mapa final'!$L$89="Baja",'Mapa final'!$P$89="Leve"),CONCATENATE("R",'Mapa final'!$E$89),"")</f>
        <v/>
      </c>
      <c r="M32" s="771"/>
      <c r="N32" s="771" t="e">
        <f>IF(AND('Mapa final'!#REF!="Baja",'Mapa final'!#REF!="Leve"),CONCATENATE("R",'Mapa final'!#REF!),"")</f>
        <v>#REF!</v>
      </c>
      <c r="O32" s="772"/>
      <c r="P32" s="763" t="str">
        <f>IF(AND('Mapa final'!$L$81="Baja",'Mapa final'!$P$81="Menor"),CONCATENATE("R",'Mapa final'!$E$81),"")</f>
        <v/>
      </c>
      <c r="Q32" s="763"/>
      <c r="R32" s="763" t="str">
        <f ca="1">IF(AND('Mapa final'!$L$89="Baja",'Mapa final'!$P$89="Menor"),CONCATENATE("R",'Mapa final'!$E$89),"")</f>
        <v/>
      </c>
      <c r="S32" s="763"/>
      <c r="T32" s="763" t="e">
        <f>IF(AND('Mapa final'!#REF!="Baja",'Mapa final'!#REF!="Menor"),CONCATENATE("R",'Mapa final'!#REF!),"")</f>
        <v>#REF!</v>
      </c>
      <c r="U32" s="764"/>
      <c r="V32" s="762" t="str">
        <f>IF(AND('Mapa final'!$L$81="Baja",'Mapa final'!$P$81="Moderado"),CONCATENATE("R",'Mapa final'!$E$81),"")</f>
        <v/>
      </c>
      <c r="W32" s="763"/>
      <c r="X32" s="763" t="str">
        <f ca="1">IF(AND('Mapa final'!$L$89="Baja",'Mapa final'!$P$89="Moderado"),CONCATENATE("R",'Mapa final'!$E$89),"")</f>
        <v/>
      </c>
      <c r="Y32" s="763"/>
      <c r="Z32" s="763" t="e">
        <f>IF(AND('Mapa final'!#REF!="Baja",'Mapa final'!#REF!="Moderado"),CONCATENATE("R",'Mapa final'!#REF!),"")</f>
        <v>#REF!</v>
      </c>
      <c r="AA32" s="764"/>
      <c r="AB32" s="746" t="str">
        <f>IF(AND('Mapa final'!$L$81="Baja",'Mapa final'!$P$81="Mayor"),CONCATENATE("R",'Mapa final'!$E$81),"")</f>
        <v/>
      </c>
      <c r="AC32" s="742"/>
      <c r="AD32" s="742" t="str">
        <f ca="1">IF(AND('Mapa final'!$L$89="Baja",'Mapa final'!$P$89="Mayor"),CONCATENATE("R",'Mapa final'!$E$89),"")</f>
        <v/>
      </c>
      <c r="AE32" s="742"/>
      <c r="AF32" s="742" t="e">
        <f>IF(AND('Mapa final'!#REF!="Baja",'Mapa final'!#REF!="Mayor"),CONCATENATE("R",'Mapa final'!#REF!),"")</f>
        <v>#REF!</v>
      </c>
      <c r="AG32" s="743"/>
      <c r="AH32" s="753" t="str">
        <f>IF(AND('Mapa final'!$L$81="Baja",'Mapa final'!$P$81="Catastrófico"),CONCATENATE("R",'Mapa final'!$E$81),"")</f>
        <v/>
      </c>
      <c r="AI32" s="754"/>
      <c r="AJ32" s="754" t="str">
        <f ca="1">IF(AND('Mapa final'!$L$89="Baja",'Mapa final'!$P$89="Catastrófico"),CONCATENATE("R",'Mapa final'!$E$89),"")</f>
        <v/>
      </c>
      <c r="AK32" s="754"/>
      <c r="AL32" s="754" t="e">
        <f>IF(AND('Mapa final'!#REF!="Baja",'Mapa final'!#REF!="Catastrófico"),CONCATENATE("R",'Mapa final'!#REF!),"")</f>
        <v>#REF!</v>
      </c>
      <c r="AM32" s="755"/>
      <c r="AN32" s="87"/>
      <c r="AO32" s="727"/>
      <c r="AP32" s="728"/>
      <c r="AQ32" s="728"/>
      <c r="AR32" s="728"/>
      <c r="AS32" s="728"/>
      <c r="AT32" s="729"/>
      <c r="AU32" s="87"/>
      <c r="AV32" s="87"/>
      <c r="AW32" s="87"/>
      <c r="AX32" s="87"/>
      <c r="AY32" s="87"/>
      <c r="AZ32" s="87"/>
      <c r="BA32" s="87"/>
      <c r="BB32" s="87"/>
      <c r="BC32" s="87"/>
      <c r="BD32" s="87"/>
      <c r="BE32" s="87"/>
      <c r="BF32" s="87"/>
      <c r="BG32" s="87"/>
      <c r="BH32" s="87"/>
      <c r="BI32" s="87"/>
      <c r="BJ32" s="87"/>
      <c r="BK32" s="87"/>
      <c r="BL32" s="87"/>
      <c r="BM32" s="87"/>
      <c r="BN32" s="87"/>
      <c r="BO32" s="87"/>
      <c r="BP32" s="87"/>
      <c r="BQ32" s="87"/>
      <c r="BR32" s="87"/>
      <c r="BS32" s="87"/>
      <c r="BT32" s="87"/>
      <c r="BU32" s="87"/>
      <c r="BV32" s="87"/>
      <c r="BW32" s="87"/>
      <c r="BX32" s="87"/>
      <c r="BY32" s="87"/>
      <c r="BZ32" s="87"/>
      <c r="CA32" s="87"/>
      <c r="CB32" s="87"/>
    </row>
    <row r="33" spans="1:80" x14ac:dyDescent="0.25">
      <c r="A33" s="87"/>
      <c r="B33" s="695"/>
      <c r="C33" s="695"/>
      <c r="D33" s="696"/>
      <c r="E33" s="736"/>
      <c r="F33" s="737"/>
      <c r="G33" s="737"/>
      <c r="H33" s="737"/>
      <c r="I33" s="737"/>
      <c r="J33" s="773"/>
      <c r="K33" s="771"/>
      <c r="L33" s="771"/>
      <c r="M33" s="771"/>
      <c r="N33" s="771"/>
      <c r="O33" s="772"/>
      <c r="P33" s="763"/>
      <c r="Q33" s="763"/>
      <c r="R33" s="763"/>
      <c r="S33" s="763"/>
      <c r="T33" s="763"/>
      <c r="U33" s="764"/>
      <c r="V33" s="762"/>
      <c r="W33" s="763"/>
      <c r="X33" s="763"/>
      <c r="Y33" s="763"/>
      <c r="Z33" s="763"/>
      <c r="AA33" s="764"/>
      <c r="AB33" s="746"/>
      <c r="AC33" s="742"/>
      <c r="AD33" s="742"/>
      <c r="AE33" s="742"/>
      <c r="AF33" s="742"/>
      <c r="AG33" s="743"/>
      <c r="AH33" s="753"/>
      <c r="AI33" s="754"/>
      <c r="AJ33" s="754"/>
      <c r="AK33" s="754"/>
      <c r="AL33" s="754"/>
      <c r="AM33" s="755"/>
      <c r="AN33" s="87"/>
      <c r="AO33" s="727"/>
      <c r="AP33" s="728"/>
      <c r="AQ33" s="728"/>
      <c r="AR33" s="728"/>
      <c r="AS33" s="728"/>
      <c r="AT33" s="729"/>
      <c r="AU33" s="87"/>
      <c r="AV33" s="87"/>
      <c r="AW33" s="87"/>
      <c r="AX33" s="87"/>
      <c r="AY33" s="87"/>
      <c r="AZ33" s="87"/>
      <c r="BA33" s="87"/>
      <c r="BB33" s="87"/>
      <c r="BC33" s="87"/>
      <c r="BD33" s="87"/>
      <c r="BE33" s="87"/>
      <c r="BF33" s="87"/>
      <c r="BG33" s="87"/>
      <c r="BH33" s="87"/>
      <c r="BI33" s="87"/>
      <c r="BJ33" s="87"/>
      <c r="BK33" s="87"/>
      <c r="BL33" s="87"/>
      <c r="BM33" s="87"/>
      <c r="BN33" s="87"/>
      <c r="BO33" s="87"/>
      <c r="BP33" s="87"/>
      <c r="BQ33" s="87"/>
      <c r="BR33" s="87"/>
      <c r="BS33" s="87"/>
      <c r="BT33" s="87"/>
      <c r="BU33" s="87"/>
      <c r="BV33" s="87"/>
      <c r="BW33" s="87"/>
      <c r="BX33" s="87"/>
      <c r="BY33" s="87"/>
      <c r="BZ33" s="87"/>
      <c r="CA33" s="87"/>
      <c r="CB33" s="87"/>
    </row>
    <row r="34" spans="1:80" x14ac:dyDescent="0.25">
      <c r="A34" s="87"/>
      <c r="B34" s="695"/>
      <c r="C34" s="695"/>
      <c r="D34" s="696"/>
      <c r="E34" s="736"/>
      <c r="F34" s="737"/>
      <c r="G34" s="737"/>
      <c r="H34" s="737"/>
      <c r="I34" s="737"/>
      <c r="J34" s="773" t="e">
        <f>IF(AND('Mapa final'!#REF!="Baja",'Mapa final'!#REF!="Leve"),CONCATENATE("R",'Mapa final'!#REF!),"")</f>
        <v>#REF!</v>
      </c>
      <c r="K34" s="771"/>
      <c r="L34" s="771" t="e">
        <f>IF(AND('Mapa final'!#REF!="Baja",'Mapa final'!#REF!="Leve"),CONCATENATE("R",'Mapa final'!#REF!),"")</f>
        <v>#REF!</v>
      </c>
      <c r="M34" s="771"/>
      <c r="N34" s="771" t="e">
        <f>IF(AND('Mapa final'!#REF!="Baja",'Mapa final'!#REF!="Leve"),CONCATENATE("R",'Mapa final'!#REF!),"")</f>
        <v>#REF!</v>
      </c>
      <c r="O34" s="772"/>
      <c r="P34" s="763" t="e">
        <f>IF(AND('Mapa final'!#REF!="Baja",'Mapa final'!#REF!="Menor"),CONCATENATE("R",'Mapa final'!#REF!),"")</f>
        <v>#REF!</v>
      </c>
      <c r="Q34" s="763"/>
      <c r="R34" s="763" t="e">
        <f>IF(AND('Mapa final'!#REF!="Baja",'Mapa final'!#REF!="Menor"),CONCATENATE("R",'Mapa final'!#REF!),"")</f>
        <v>#REF!</v>
      </c>
      <c r="S34" s="763"/>
      <c r="T34" s="763" t="e">
        <f>IF(AND('Mapa final'!#REF!="Baja",'Mapa final'!#REF!="Menor"),CONCATENATE("R",'Mapa final'!#REF!),"")</f>
        <v>#REF!</v>
      </c>
      <c r="U34" s="764"/>
      <c r="V34" s="762" t="e">
        <f>IF(AND('Mapa final'!#REF!="Baja",'Mapa final'!#REF!="Moderado"),CONCATENATE("R",'Mapa final'!#REF!),"")</f>
        <v>#REF!</v>
      </c>
      <c r="W34" s="763"/>
      <c r="X34" s="763" t="e">
        <f>IF(AND('Mapa final'!#REF!="Baja",'Mapa final'!#REF!="Moderado"),CONCATENATE("R",'Mapa final'!#REF!),"")</f>
        <v>#REF!</v>
      </c>
      <c r="Y34" s="763"/>
      <c r="Z34" s="763" t="e">
        <f>IF(AND('Mapa final'!#REF!="Baja",'Mapa final'!#REF!="Moderado"),CONCATENATE("R",'Mapa final'!#REF!),"")</f>
        <v>#REF!</v>
      </c>
      <c r="AA34" s="764"/>
      <c r="AB34" s="746" t="e">
        <f>IF(AND('Mapa final'!#REF!="Baja",'Mapa final'!#REF!="Mayor"),CONCATENATE("R",'Mapa final'!#REF!),"")</f>
        <v>#REF!</v>
      </c>
      <c r="AC34" s="742"/>
      <c r="AD34" s="742" t="e">
        <f>IF(AND('Mapa final'!#REF!="Baja",'Mapa final'!#REF!="Mayor"),CONCATENATE("R",'Mapa final'!#REF!),"")</f>
        <v>#REF!</v>
      </c>
      <c r="AE34" s="742"/>
      <c r="AF34" s="742" t="e">
        <f>IF(AND('Mapa final'!#REF!="Baja",'Mapa final'!#REF!="Mayor"),CONCATENATE("R",'Mapa final'!#REF!),"")</f>
        <v>#REF!</v>
      </c>
      <c r="AG34" s="743"/>
      <c r="AH34" s="753" t="e">
        <f>IF(AND('Mapa final'!#REF!="Baja",'Mapa final'!#REF!="Catastrófico"),CONCATENATE("R",'Mapa final'!#REF!),"")</f>
        <v>#REF!</v>
      </c>
      <c r="AI34" s="754"/>
      <c r="AJ34" s="754" t="e">
        <f>IF(AND('Mapa final'!#REF!="Baja",'Mapa final'!#REF!="Catastrófico"),CONCATENATE("R",'Mapa final'!#REF!),"")</f>
        <v>#REF!</v>
      </c>
      <c r="AK34" s="754"/>
      <c r="AL34" s="754" t="e">
        <f>IF(AND('Mapa final'!#REF!="Baja",'Mapa final'!#REF!="Catastrófico"),CONCATENATE("R",'Mapa final'!#REF!),"")</f>
        <v>#REF!</v>
      </c>
      <c r="AM34" s="755"/>
      <c r="AN34" s="87"/>
      <c r="AO34" s="727"/>
      <c r="AP34" s="728"/>
      <c r="AQ34" s="728"/>
      <c r="AR34" s="728"/>
      <c r="AS34" s="728"/>
      <c r="AT34" s="729"/>
      <c r="AU34" s="87"/>
      <c r="AV34" s="87"/>
      <c r="AW34" s="87"/>
      <c r="AX34" s="87"/>
      <c r="AY34" s="87"/>
      <c r="AZ34" s="87"/>
      <c r="BA34" s="87"/>
      <c r="BB34" s="87"/>
      <c r="BC34" s="87"/>
      <c r="BD34" s="87"/>
      <c r="BE34" s="87"/>
      <c r="BF34" s="87"/>
      <c r="BG34" s="87"/>
      <c r="BH34" s="87"/>
      <c r="BI34" s="87"/>
      <c r="BJ34" s="87"/>
      <c r="BK34" s="87"/>
      <c r="BL34" s="87"/>
      <c r="BM34" s="87"/>
      <c r="BN34" s="87"/>
      <c r="BO34" s="87"/>
      <c r="BP34" s="87"/>
      <c r="BQ34" s="87"/>
      <c r="BR34" s="87"/>
      <c r="BS34" s="87"/>
      <c r="BT34" s="87"/>
      <c r="BU34" s="87"/>
      <c r="BV34" s="87"/>
      <c r="BW34" s="87"/>
      <c r="BX34" s="87"/>
      <c r="BY34" s="87"/>
      <c r="BZ34" s="87"/>
      <c r="CA34" s="87"/>
      <c r="CB34" s="87"/>
    </row>
    <row r="35" spans="1:80" x14ac:dyDescent="0.25">
      <c r="A35" s="87"/>
      <c r="B35" s="695"/>
      <c r="C35" s="695"/>
      <c r="D35" s="696"/>
      <c r="E35" s="736"/>
      <c r="F35" s="737"/>
      <c r="G35" s="737"/>
      <c r="H35" s="737"/>
      <c r="I35" s="737"/>
      <c r="J35" s="773"/>
      <c r="K35" s="771"/>
      <c r="L35" s="771"/>
      <c r="M35" s="771"/>
      <c r="N35" s="771"/>
      <c r="O35" s="772"/>
      <c r="P35" s="763"/>
      <c r="Q35" s="763"/>
      <c r="R35" s="763"/>
      <c r="S35" s="763"/>
      <c r="T35" s="763"/>
      <c r="U35" s="764"/>
      <c r="V35" s="762"/>
      <c r="W35" s="763"/>
      <c r="X35" s="763"/>
      <c r="Y35" s="763"/>
      <c r="Z35" s="763"/>
      <c r="AA35" s="764"/>
      <c r="AB35" s="746"/>
      <c r="AC35" s="742"/>
      <c r="AD35" s="742"/>
      <c r="AE35" s="742"/>
      <c r="AF35" s="742"/>
      <c r="AG35" s="743"/>
      <c r="AH35" s="753"/>
      <c r="AI35" s="754"/>
      <c r="AJ35" s="754"/>
      <c r="AK35" s="754"/>
      <c r="AL35" s="754"/>
      <c r="AM35" s="755"/>
      <c r="AN35" s="87"/>
      <c r="AO35" s="727"/>
      <c r="AP35" s="728"/>
      <c r="AQ35" s="728"/>
      <c r="AR35" s="728"/>
      <c r="AS35" s="728"/>
      <c r="AT35" s="729"/>
      <c r="AU35" s="87"/>
      <c r="AV35" s="87"/>
      <c r="AW35" s="87"/>
      <c r="AX35" s="87"/>
      <c r="AY35" s="87"/>
      <c r="AZ35" s="87"/>
      <c r="BA35" s="87"/>
      <c r="BB35" s="87"/>
      <c r="BC35" s="87"/>
      <c r="BD35" s="87"/>
      <c r="BE35" s="87"/>
      <c r="BF35" s="87"/>
      <c r="BG35" s="87"/>
      <c r="BH35" s="87"/>
      <c r="BI35" s="87"/>
      <c r="BJ35" s="87"/>
      <c r="BK35" s="87"/>
      <c r="BL35" s="87"/>
      <c r="BM35" s="87"/>
      <c r="BN35" s="87"/>
      <c r="BO35" s="87"/>
      <c r="BP35" s="87"/>
      <c r="BQ35" s="87"/>
      <c r="BR35" s="87"/>
      <c r="BS35" s="87"/>
      <c r="BT35" s="87"/>
      <c r="BU35" s="87"/>
      <c r="BV35" s="87"/>
      <c r="BW35" s="87"/>
      <c r="BX35" s="87"/>
      <c r="BY35" s="87"/>
      <c r="BZ35" s="87"/>
      <c r="CA35" s="87"/>
      <c r="CB35" s="87"/>
    </row>
    <row r="36" spans="1:80" x14ac:dyDescent="0.25">
      <c r="A36" s="87"/>
      <c r="B36" s="695"/>
      <c r="C36" s="695"/>
      <c r="D36" s="696"/>
      <c r="E36" s="736"/>
      <c r="F36" s="737"/>
      <c r="G36" s="737"/>
      <c r="H36" s="737"/>
      <c r="I36" s="737"/>
      <c r="J36" s="773" t="e">
        <f>IF(AND('Mapa final'!#REF!="Baja",'Mapa final'!#REF!="Leve"),CONCATENATE("R",'Mapa final'!#REF!),"")</f>
        <v>#REF!</v>
      </c>
      <c r="K36" s="771"/>
      <c r="L36" s="771" t="str">
        <f>IF(AND('Mapa final'!$L$96="Baja",'Mapa final'!$P$96="Leve"),CONCATENATE("R",'Mapa final'!$E$96),"")</f>
        <v/>
      </c>
      <c r="M36" s="771"/>
      <c r="N36" s="771" t="str">
        <f>IF(AND('Mapa final'!$L$102="Baja",'Mapa final'!$P$102="Leve"),CONCATENATE("R",'Mapa final'!$E$102),"")</f>
        <v/>
      </c>
      <c r="O36" s="772"/>
      <c r="P36" s="763" t="e">
        <f>IF(AND('Mapa final'!#REF!="Baja",'Mapa final'!#REF!="Menor"),CONCATENATE("R",'Mapa final'!#REF!),"")</f>
        <v>#REF!</v>
      </c>
      <c r="Q36" s="763"/>
      <c r="R36" s="763" t="str">
        <f>IF(AND('Mapa final'!$L$96="Baja",'Mapa final'!$P$96="Menor"),CONCATENATE("R",'Mapa final'!$E$96),"")</f>
        <v/>
      </c>
      <c r="S36" s="763"/>
      <c r="T36" s="763" t="str">
        <f>IF(AND('Mapa final'!$L$102="Baja",'Mapa final'!$P$102="Menor"),CONCATENATE("R",'Mapa final'!$E$102),"")</f>
        <v/>
      </c>
      <c r="U36" s="764"/>
      <c r="V36" s="762" t="e">
        <f>IF(AND('Mapa final'!#REF!="Baja",'Mapa final'!#REF!="Moderado"),CONCATENATE("R",'Mapa final'!#REF!),"")</f>
        <v>#REF!</v>
      </c>
      <c r="W36" s="763"/>
      <c r="X36" s="763" t="str">
        <f>IF(AND('Mapa final'!$L$96="Baja",'Mapa final'!$P$96="Moderado"),CONCATENATE("R",'Mapa final'!$E$96),"")</f>
        <v/>
      </c>
      <c r="Y36" s="763"/>
      <c r="Z36" s="763" t="str">
        <f>IF(AND('Mapa final'!$L$102="Baja",'Mapa final'!$P$102="Moderado"),CONCATENATE("R",'Mapa final'!$E$102),"")</f>
        <v/>
      </c>
      <c r="AA36" s="764"/>
      <c r="AB36" s="746" t="e">
        <f>IF(AND('Mapa final'!#REF!="Baja",'Mapa final'!#REF!="Mayor"),CONCATENATE("R",'Mapa final'!#REF!),"")</f>
        <v>#REF!</v>
      </c>
      <c r="AC36" s="742"/>
      <c r="AD36" s="742" t="str">
        <f>IF(AND('Mapa final'!$L$96="Baja",'Mapa final'!$P$96="Mayor"),CONCATENATE("R",'Mapa final'!$E$96),"")</f>
        <v/>
      </c>
      <c r="AE36" s="742"/>
      <c r="AF36" s="742" t="str">
        <f>IF(AND('Mapa final'!$L$102="Baja",'Mapa final'!$P$102="Mayor"),CONCATENATE("R",'Mapa final'!$E$102),"")</f>
        <v/>
      </c>
      <c r="AG36" s="743"/>
      <c r="AH36" s="753" t="e">
        <f>IF(AND('Mapa final'!#REF!="Baja",'Mapa final'!#REF!="Catastrófico"),CONCATENATE("R",'Mapa final'!#REF!),"")</f>
        <v>#REF!</v>
      </c>
      <c r="AI36" s="754"/>
      <c r="AJ36" s="754" t="str">
        <f>IF(AND('Mapa final'!$L$96="Baja",'Mapa final'!$P$96="Catastrófico"),CONCATENATE("R",'Mapa final'!$E$96),"")</f>
        <v/>
      </c>
      <c r="AK36" s="754"/>
      <c r="AL36" s="754" t="str">
        <f>IF(AND('Mapa final'!$L$102="Baja",'Mapa final'!$P$102="Catastrófico"),CONCATENATE("R",'Mapa final'!$E$102),"")</f>
        <v/>
      </c>
      <c r="AM36" s="755"/>
      <c r="AN36" s="87"/>
      <c r="AO36" s="727"/>
      <c r="AP36" s="728"/>
      <c r="AQ36" s="728"/>
      <c r="AR36" s="728"/>
      <c r="AS36" s="728"/>
      <c r="AT36" s="729"/>
      <c r="AU36" s="87"/>
      <c r="AV36" s="87"/>
      <c r="AW36" s="87"/>
      <c r="AX36" s="87"/>
      <c r="AY36" s="87"/>
      <c r="AZ36" s="87"/>
      <c r="BA36" s="87"/>
      <c r="BB36" s="87"/>
      <c r="BC36" s="87"/>
      <c r="BD36" s="87"/>
      <c r="BE36" s="87"/>
      <c r="BF36" s="87"/>
      <c r="BG36" s="87"/>
      <c r="BH36" s="87"/>
      <c r="BI36" s="87"/>
      <c r="BJ36" s="87"/>
      <c r="BK36" s="87"/>
      <c r="BL36" s="87"/>
      <c r="BM36" s="87"/>
      <c r="BN36" s="87"/>
      <c r="BO36" s="87"/>
      <c r="BP36" s="87"/>
      <c r="BQ36" s="87"/>
      <c r="BR36" s="87"/>
      <c r="BS36" s="87"/>
      <c r="BT36" s="87"/>
      <c r="BU36" s="87"/>
      <c r="BV36" s="87"/>
      <c r="BW36" s="87"/>
      <c r="BX36" s="87"/>
      <c r="BY36" s="87"/>
      <c r="BZ36" s="87"/>
      <c r="CA36" s="87"/>
      <c r="CB36" s="87"/>
    </row>
    <row r="37" spans="1:80" ht="15.75" thickBot="1" x14ac:dyDescent="0.3">
      <c r="A37" s="87"/>
      <c r="B37" s="695"/>
      <c r="C37" s="695"/>
      <c r="D37" s="696"/>
      <c r="E37" s="739"/>
      <c r="F37" s="740"/>
      <c r="G37" s="740"/>
      <c r="H37" s="740"/>
      <c r="I37" s="740"/>
      <c r="J37" s="774"/>
      <c r="K37" s="775"/>
      <c r="L37" s="775"/>
      <c r="M37" s="775"/>
      <c r="N37" s="775"/>
      <c r="O37" s="776"/>
      <c r="P37" s="766"/>
      <c r="Q37" s="766"/>
      <c r="R37" s="766"/>
      <c r="S37" s="766"/>
      <c r="T37" s="766"/>
      <c r="U37" s="767"/>
      <c r="V37" s="765"/>
      <c r="W37" s="766"/>
      <c r="X37" s="766"/>
      <c r="Y37" s="766"/>
      <c r="Z37" s="766"/>
      <c r="AA37" s="767"/>
      <c r="AB37" s="750"/>
      <c r="AC37" s="751"/>
      <c r="AD37" s="751"/>
      <c r="AE37" s="751"/>
      <c r="AF37" s="751"/>
      <c r="AG37" s="752"/>
      <c r="AH37" s="756"/>
      <c r="AI37" s="757"/>
      <c r="AJ37" s="757"/>
      <c r="AK37" s="757"/>
      <c r="AL37" s="757"/>
      <c r="AM37" s="758"/>
      <c r="AN37" s="87"/>
      <c r="AO37" s="730"/>
      <c r="AP37" s="731"/>
      <c r="AQ37" s="731"/>
      <c r="AR37" s="731"/>
      <c r="AS37" s="731"/>
      <c r="AT37" s="732"/>
      <c r="AU37" s="87"/>
      <c r="AV37" s="87"/>
      <c r="AW37" s="87"/>
      <c r="AX37" s="87"/>
      <c r="AY37" s="87"/>
      <c r="AZ37" s="87"/>
      <c r="BA37" s="87"/>
      <c r="BB37" s="87"/>
      <c r="BC37" s="87"/>
      <c r="BD37" s="87"/>
      <c r="BE37" s="87"/>
      <c r="BF37" s="87"/>
      <c r="BG37" s="87"/>
      <c r="BH37" s="87"/>
      <c r="BI37" s="87"/>
      <c r="BJ37" s="87"/>
      <c r="BK37" s="87"/>
      <c r="BL37" s="87"/>
      <c r="BM37" s="87"/>
      <c r="BN37" s="87"/>
      <c r="BO37" s="87"/>
      <c r="BP37" s="87"/>
      <c r="BQ37" s="87"/>
      <c r="BR37" s="87"/>
      <c r="BS37" s="87"/>
      <c r="BT37" s="87"/>
      <c r="BU37" s="87"/>
      <c r="BV37" s="87"/>
      <c r="BW37" s="87"/>
      <c r="BX37" s="87"/>
      <c r="BY37" s="87"/>
      <c r="BZ37" s="87"/>
      <c r="CA37" s="87"/>
      <c r="CB37" s="87"/>
    </row>
    <row r="38" spans="1:80" x14ac:dyDescent="0.25">
      <c r="A38" s="87"/>
      <c r="B38" s="695"/>
      <c r="C38" s="695"/>
      <c r="D38" s="696"/>
      <c r="E38" s="733" t="s">
        <v>467</v>
      </c>
      <c r="F38" s="734"/>
      <c r="G38" s="734"/>
      <c r="H38" s="734"/>
      <c r="I38" s="735"/>
      <c r="J38" s="777" t="str">
        <f ca="1">IF(AND('Mapa final'!$L$9="Muy Baja",'Mapa final'!$P$9="Leve"),CONCATENATE("R",'Mapa final'!$E$9),"")</f>
        <v/>
      </c>
      <c r="K38" s="778"/>
      <c r="L38" s="778" t="str">
        <f ca="1">IF(AND('Mapa final'!$L$63="Muy Baja",'Mapa final'!$P$63="Leve"),CONCATENATE("R",'Mapa final'!$E$63),"")</f>
        <v/>
      </c>
      <c r="M38" s="778"/>
      <c r="N38" s="778" t="str">
        <f>IF(AND('Mapa final'!$L$75="Muy Baja",'Mapa final'!$P$75="Leve"),CONCATENATE("R",'Mapa final'!$E$75),"")</f>
        <v/>
      </c>
      <c r="O38" s="779"/>
      <c r="P38" s="777" t="str">
        <f ca="1">IF(AND('Mapa final'!$L$9="Muy Baja",'Mapa final'!$P$9="Menor"),CONCATENATE("R",'Mapa final'!$E$9),"")</f>
        <v/>
      </c>
      <c r="Q38" s="778"/>
      <c r="R38" s="778" t="str">
        <f ca="1">IF(AND('Mapa final'!$L$63="Muy Baja",'Mapa final'!$P$63="Menor"),CONCATENATE("R",'Mapa final'!$E$63),"")</f>
        <v/>
      </c>
      <c r="S38" s="778"/>
      <c r="T38" s="778" t="str">
        <f>IF(AND('Mapa final'!$L$75="Muy Baja",'Mapa final'!$P$75="Menor"),CONCATENATE("R",'Mapa final'!$E$75),"")</f>
        <v/>
      </c>
      <c r="U38" s="779"/>
      <c r="V38" s="768" t="str">
        <f ca="1">IF(AND('Mapa final'!$L$9="Muy Baja",'Mapa final'!$P$9="Moderado"),CONCATENATE("R",'Mapa final'!$E$9),"")</f>
        <v/>
      </c>
      <c r="W38" s="769"/>
      <c r="X38" s="769" t="str">
        <f ca="1">IF(AND('Mapa final'!$L$63="Muy Baja",'Mapa final'!$P$63="Moderado"),CONCATENATE("R",'Mapa final'!$E$63),"")</f>
        <v/>
      </c>
      <c r="Y38" s="769"/>
      <c r="Z38" s="769" t="str">
        <f>IF(AND('Mapa final'!$L$75="Muy Baja",'Mapa final'!$P$75="Moderado"),CONCATENATE("R",'Mapa final'!$E$75),"")</f>
        <v/>
      </c>
      <c r="AA38" s="770"/>
      <c r="AB38" s="744" t="str">
        <f ca="1">IF(AND('Mapa final'!$L$9="Muy Baja",'Mapa final'!$P$9="Mayor"),CONCATENATE("R",'Mapa final'!$E$9),"")</f>
        <v/>
      </c>
      <c r="AC38" s="745"/>
      <c r="AD38" s="745" t="str">
        <f ca="1">IF(AND('Mapa final'!$L$63="Muy Baja",'Mapa final'!$P$63="Mayor"),CONCATENATE("R",'Mapa final'!$E$63),"")</f>
        <v/>
      </c>
      <c r="AE38" s="745"/>
      <c r="AF38" s="745" t="str">
        <f>IF(AND('Mapa final'!$L$75="Muy Baja",'Mapa final'!$P$75="Mayor"),CONCATENATE("R",'Mapa final'!$E$75),"")</f>
        <v/>
      </c>
      <c r="AG38" s="747"/>
      <c r="AH38" s="759" t="str">
        <f ca="1">IF(AND('Mapa final'!$L$9="Muy Baja",'Mapa final'!$P$9="Catastrófico"),CONCATENATE("R",'Mapa final'!$E$9),"")</f>
        <v/>
      </c>
      <c r="AI38" s="760"/>
      <c r="AJ38" s="760" t="str">
        <f ca="1">IF(AND('Mapa final'!$L$63="Muy Baja",'Mapa final'!$P$63="Catastrófico"),CONCATENATE("R",'Mapa final'!$E$63),"")</f>
        <v/>
      </c>
      <c r="AK38" s="760"/>
      <c r="AL38" s="760" t="str">
        <f>IF(AND('Mapa final'!$L$75="Muy Baja",'Mapa final'!$P$75="Catastrófico"),CONCATENATE("R",'Mapa final'!$E$75),"")</f>
        <v/>
      </c>
      <c r="AM38" s="761"/>
      <c r="AN38" s="87"/>
      <c r="AO38" s="87"/>
      <c r="AP38" s="87"/>
      <c r="AQ38" s="87"/>
      <c r="AR38" s="87"/>
      <c r="AS38" s="87"/>
      <c r="AT38" s="87"/>
      <c r="AU38" s="87"/>
      <c r="AV38" s="87"/>
      <c r="AW38" s="87"/>
      <c r="AX38" s="87"/>
      <c r="AY38" s="87"/>
      <c r="AZ38" s="87"/>
      <c r="BA38" s="87"/>
      <c r="BB38" s="87"/>
      <c r="BC38" s="87"/>
      <c r="BD38" s="87"/>
      <c r="BE38" s="87"/>
      <c r="BF38" s="87"/>
      <c r="BG38" s="87"/>
      <c r="BH38" s="87"/>
      <c r="BI38" s="87"/>
      <c r="BJ38" s="87"/>
      <c r="BK38" s="87"/>
      <c r="BL38" s="87"/>
      <c r="BM38" s="87"/>
      <c r="BN38" s="87"/>
      <c r="BO38" s="87"/>
      <c r="BP38" s="87"/>
      <c r="BQ38" s="87"/>
      <c r="BR38" s="87"/>
      <c r="BS38" s="87"/>
      <c r="BT38" s="87"/>
      <c r="BU38" s="87"/>
      <c r="BV38" s="87"/>
      <c r="BW38" s="87"/>
      <c r="BX38" s="87"/>
      <c r="BY38" s="87"/>
      <c r="BZ38" s="87"/>
      <c r="CA38" s="87"/>
      <c r="CB38" s="87"/>
    </row>
    <row r="39" spans="1:80" x14ac:dyDescent="0.25">
      <c r="A39" s="87"/>
      <c r="B39" s="695"/>
      <c r="C39" s="695"/>
      <c r="D39" s="696"/>
      <c r="E39" s="736"/>
      <c r="F39" s="737"/>
      <c r="G39" s="737"/>
      <c r="H39" s="737"/>
      <c r="I39" s="738"/>
      <c r="J39" s="773"/>
      <c r="K39" s="771"/>
      <c r="L39" s="771"/>
      <c r="M39" s="771"/>
      <c r="N39" s="771"/>
      <c r="O39" s="772"/>
      <c r="P39" s="773"/>
      <c r="Q39" s="771"/>
      <c r="R39" s="771"/>
      <c r="S39" s="771"/>
      <c r="T39" s="771"/>
      <c r="U39" s="772"/>
      <c r="V39" s="762"/>
      <c r="W39" s="763"/>
      <c r="X39" s="763"/>
      <c r="Y39" s="763"/>
      <c r="Z39" s="763"/>
      <c r="AA39" s="764"/>
      <c r="AB39" s="746"/>
      <c r="AC39" s="742"/>
      <c r="AD39" s="742"/>
      <c r="AE39" s="742"/>
      <c r="AF39" s="742"/>
      <c r="AG39" s="743"/>
      <c r="AH39" s="753"/>
      <c r="AI39" s="754"/>
      <c r="AJ39" s="754"/>
      <c r="AK39" s="754"/>
      <c r="AL39" s="754"/>
      <c r="AM39" s="755"/>
      <c r="AN39" s="87"/>
      <c r="AO39" s="87"/>
      <c r="AP39" s="87"/>
      <c r="AQ39" s="87"/>
      <c r="AR39" s="87"/>
      <c r="AS39" s="87"/>
      <c r="AT39" s="87"/>
      <c r="AU39" s="87"/>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87"/>
      <c r="BX39" s="87"/>
      <c r="BY39" s="87"/>
      <c r="BZ39" s="87"/>
      <c r="CA39" s="87"/>
      <c r="CB39" s="87"/>
    </row>
    <row r="40" spans="1:80" x14ac:dyDescent="0.25">
      <c r="A40" s="87"/>
      <c r="B40" s="695"/>
      <c r="C40" s="695"/>
      <c r="D40" s="696"/>
      <c r="E40" s="736"/>
      <c r="F40" s="737"/>
      <c r="G40" s="737"/>
      <c r="H40" s="737"/>
      <c r="I40" s="738"/>
      <c r="J40" s="773" t="str">
        <f>IF(AND('Mapa final'!$L$81="Muy Baja",'Mapa final'!$P$81="Leve"),CONCATENATE("R",'Mapa final'!$E$81),"")</f>
        <v/>
      </c>
      <c r="K40" s="771"/>
      <c r="L40" s="771" t="str">
        <f ca="1">IF(AND('Mapa final'!$L$89="Muy Baja",'Mapa final'!$P$89="Leve"),CONCATENATE("R",'Mapa final'!$E$89),"")</f>
        <v/>
      </c>
      <c r="M40" s="771"/>
      <c r="N40" s="771" t="e">
        <f>IF(AND('Mapa final'!#REF!="Muy Baja",'Mapa final'!#REF!="Leve"),CONCATENATE("R",'Mapa final'!#REF!),"")</f>
        <v>#REF!</v>
      </c>
      <c r="O40" s="772"/>
      <c r="P40" s="773" t="str">
        <f>IF(AND('Mapa final'!$L$81="Muy Baja",'Mapa final'!$P$81="Menor"),CONCATENATE("R",'Mapa final'!$E$81),"")</f>
        <v/>
      </c>
      <c r="Q40" s="771"/>
      <c r="R40" s="771" t="str">
        <f ca="1">IF(AND('Mapa final'!$L$89="Muy Baja",'Mapa final'!$P$89="Menor"),CONCATENATE("R",'Mapa final'!$E$89),"")</f>
        <v/>
      </c>
      <c r="S40" s="771"/>
      <c r="T40" s="771" t="e">
        <f>IF(AND('Mapa final'!#REF!="Muy Baja",'Mapa final'!#REF!="Menor"),CONCATENATE("R",'Mapa final'!#REF!),"")</f>
        <v>#REF!</v>
      </c>
      <c r="U40" s="772"/>
      <c r="V40" s="762" t="str">
        <f>IF(AND('Mapa final'!$L$81="Muy Baja",'Mapa final'!$P$81="Moderado"),CONCATENATE("R",'Mapa final'!$E$81),"")</f>
        <v/>
      </c>
      <c r="W40" s="763"/>
      <c r="X40" s="763" t="str">
        <f ca="1">IF(AND('Mapa final'!$L$89="Muy Baja",'Mapa final'!$P$89="Moderado"),CONCATENATE("R",'Mapa final'!$E$89),"")</f>
        <v>R1</v>
      </c>
      <c r="Y40" s="763"/>
      <c r="Z40" s="763" t="e">
        <f>IF(AND('Mapa final'!#REF!="Muy Baja",'Mapa final'!#REF!="Moderado"),CONCATENATE("R",'Mapa final'!#REF!),"")</f>
        <v>#REF!</v>
      </c>
      <c r="AA40" s="764"/>
      <c r="AB40" s="746" t="str">
        <f>IF(AND('Mapa final'!$L$81="Muy Baja",'Mapa final'!$P$81="Mayor"),CONCATENATE("R",'Mapa final'!$E$81),"")</f>
        <v/>
      </c>
      <c r="AC40" s="742"/>
      <c r="AD40" s="742" t="str">
        <f ca="1">IF(AND('Mapa final'!$L$89="Muy Baja",'Mapa final'!$P$89="Mayor"),CONCATENATE("R",'Mapa final'!$E$89),"")</f>
        <v/>
      </c>
      <c r="AE40" s="742"/>
      <c r="AF40" s="742" t="e">
        <f>IF(AND('Mapa final'!#REF!="Muy Baja",'Mapa final'!#REF!="Mayor"),CONCATENATE("R",'Mapa final'!#REF!),"")</f>
        <v>#REF!</v>
      </c>
      <c r="AG40" s="743"/>
      <c r="AH40" s="753" t="str">
        <f>IF(AND('Mapa final'!$L$81="Muy Baja",'Mapa final'!$P$81="Catastrófico"),CONCATENATE("R",'Mapa final'!$E$81),"")</f>
        <v/>
      </c>
      <c r="AI40" s="754"/>
      <c r="AJ40" s="754" t="str">
        <f ca="1">IF(AND('Mapa final'!$L$89="Muy Baja",'Mapa final'!$P$89="Catastrófico"),CONCATENATE("R",'Mapa final'!$E$89),"")</f>
        <v/>
      </c>
      <c r="AK40" s="754"/>
      <c r="AL40" s="754" t="e">
        <f>IF(AND('Mapa final'!#REF!="Muy Baja",'Mapa final'!#REF!="Catastrófico"),CONCATENATE("R",'Mapa final'!#REF!),"")</f>
        <v>#REF!</v>
      </c>
      <c r="AM40" s="755"/>
      <c r="AN40" s="87"/>
      <c r="AO40" s="87"/>
      <c r="AP40" s="87"/>
      <c r="AQ40" s="87"/>
      <c r="AR40" s="87"/>
      <c r="AS40" s="87"/>
      <c r="AT40" s="87"/>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87"/>
      <c r="BX40" s="87"/>
      <c r="BY40" s="87"/>
      <c r="BZ40" s="87"/>
      <c r="CA40" s="87"/>
      <c r="CB40" s="87"/>
    </row>
    <row r="41" spans="1:80" x14ac:dyDescent="0.25">
      <c r="A41" s="87"/>
      <c r="B41" s="695"/>
      <c r="C41" s="695"/>
      <c r="D41" s="696"/>
      <c r="E41" s="736"/>
      <c r="F41" s="737"/>
      <c r="G41" s="737"/>
      <c r="H41" s="737"/>
      <c r="I41" s="738"/>
      <c r="J41" s="773"/>
      <c r="K41" s="771"/>
      <c r="L41" s="771"/>
      <c r="M41" s="771"/>
      <c r="N41" s="771"/>
      <c r="O41" s="772"/>
      <c r="P41" s="773"/>
      <c r="Q41" s="771"/>
      <c r="R41" s="771"/>
      <c r="S41" s="771"/>
      <c r="T41" s="771"/>
      <c r="U41" s="772"/>
      <c r="V41" s="762"/>
      <c r="W41" s="763"/>
      <c r="X41" s="763"/>
      <c r="Y41" s="763"/>
      <c r="Z41" s="763"/>
      <c r="AA41" s="764"/>
      <c r="AB41" s="746"/>
      <c r="AC41" s="742"/>
      <c r="AD41" s="742"/>
      <c r="AE41" s="742"/>
      <c r="AF41" s="742"/>
      <c r="AG41" s="743"/>
      <c r="AH41" s="753"/>
      <c r="AI41" s="754"/>
      <c r="AJ41" s="754"/>
      <c r="AK41" s="754"/>
      <c r="AL41" s="754"/>
      <c r="AM41" s="755"/>
      <c r="AN41" s="87"/>
      <c r="AO41" s="87"/>
      <c r="AP41" s="87"/>
      <c r="AQ41" s="87"/>
      <c r="AR41" s="87"/>
      <c r="AS41" s="87"/>
      <c r="AT41" s="87"/>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87"/>
      <c r="BU41" s="87"/>
      <c r="BV41" s="87"/>
      <c r="BW41" s="87"/>
      <c r="BX41" s="87"/>
      <c r="BY41" s="87"/>
      <c r="BZ41" s="87"/>
      <c r="CA41" s="87"/>
      <c r="CB41" s="87"/>
    </row>
    <row r="42" spans="1:80" x14ac:dyDescent="0.25">
      <c r="A42" s="87"/>
      <c r="B42" s="695"/>
      <c r="C42" s="695"/>
      <c r="D42" s="696"/>
      <c r="E42" s="736"/>
      <c r="F42" s="737"/>
      <c r="G42" s="737"/>
      <c r="H42" s="737"/>
      <c r="I42" s="738"/>
      <c r="J42" s="773" t="e">
        <f>IF(AND('Mapa final'!#REF!="Muy Baja",'Mapa final'!#REF!="Leve"),CONCATENATE("R",'Mapa final'!#REF!),"")</f>
        <v>#REF!</v>
      </c>
      <c r="K42" s="771"/>
      <c r="L42" s="771" t="e">
        <f>IF(AND('Mapa final'!#REF!="Muy Baja",'Mapa final'!#REF!="Leve"),CONCATENATE("R",'Mapa final'!#REF!),"")</f>
        <v>#REF!</v>
      </c>
      <c r="M42" s="771"/>
      <c r="N42" s="771" t="e">
        <f>IF(AND('Mapa final'!#REF!="Muy Baja",'Mapa final'!#REF!="Leve"),CONCATENATE("R",'Mapa final'!#REF!),"")</f>
        <v>#REF!</v>
      </c>
      <c r="O42" s="772"/>
      <c r="P42" s="773" t="e">
        <f>IF(AND('Mapa final'!#REF!="Muy Baja",'Mapa final'!#REF!="Menor"),CONCATENATE("R",'Mapa final'!#REF!),"")</f>
        <v>#REF!</v>
      </c>
      <c r="Q42" s="771"/>
      <c r="R42" s="771" t="e">
        <f>IF(AND('Mapa final'!#REF!="Muy Baja",'Mapa final'!#REF!="Menor"),CONCATENATE("R",'Mapa final'!#REF!),"")</f>
        <v>#REF!</v>
      </c>
      <c r="S42" s="771"/>
      <c r="T42" s="771" t="e">
        <f>IF(AND('Mapa final'!#REF!="Muy Baja",'Mapa final'!#REF!="Menor"),CONCATENATE("R",'Mapa final'!#REF!),"")</f>
        <v>#REF!</v>
      </c>
      <c r="U42" s="772"/>
      <c r="V42" s="762" t="e">
        <f>IF(AND('Mapa final'!#REF!="Muy Baja",'Mapa final'!#REF!="Moderado"),CONCATENATE("R",'Mapa final'!#REF!),"")</f>
        <v>#REF!</v>
      </c>
      <c r="W42" s="763"/>
      <c r="X42" s="763" t="e">
        <f>IF(AND('Mapa final'!#REF!="Muy Baja",'Mapa final'!#REF!="Moderado"),CONCATENATE("R",'Mapa final'!#REF!),"")</f>
        <v>#REF!</v>
      </c>
      <c r="Y42" s="763"/>
      <c r="Z42" s="763" t="e">
        <f>IF(AND('Mapa final'!#REF!="Muy Baja",'Mapa final'!#REF!="Moderado"),CONCATENATE("R",'Mapa final'!#REF!),"")</f>
        <v>#REF!</v>
      </c>
      <c r="AA42" s="764"/>
      <c r="AB42" s="746" t="e">
        <f>IF(AND('Mapa final'!#REF!="Muy Baja",'Mapa final'!#REF!="Mayor"),CONCATENATE("R",'Mapa final'!#REF!),"")</f>
        <v>#REF!</v>
      </c>
      <c r="AC42" s="742"/>
      <c r="AD42" s="742" t="e">
        <f>IF(AND('Mapa final'!#REF!="Muy Baja",'Mapa final'!#REF!="Mayor"),CONCATENATE("R",'Mapa final'!#REF!),"")</f>
        <v>#REF!</v>
      </c>
      <c r="AE42" s="742"/>
      <c r="AF42" s="742" t="e">
        <f>IF(AND('Mapa final'!#REF!="Muy Baja",'Mapa final'!#REF!="Mayor"),CONCATENATE("R",'Mapa final'!#REF!),"")</f>
        <v>#REF!</v>
      </c>
      <c r="AG42" s="743"/>
      <c r="AH42" s="753" t="e">
        <f>IF(AND('Mapa final'!#REF!="Muy Baja",'Mapa final'!#REF!="Catastrófico"),CONCATENATE("R",'Mapa final'!#REF!),"")</f>
        <v>#REF!</v>
      </c>
      <c r="AI42" s="754"/>
      <c r="AJ42" s="754" t="e">
        <f>IF(AND('Mapa final'!#REF!="Muy Baja",'Mapa final'!#REF!="Catastrófico"),CONCATENATE("R",'Mapa final'!#REF!),"")</f>
        <v>#REF!</v>
      </c>
      <c r="AK42" s="754"/>
      <c r="AL42" s="754" t="e">
        <f>IF(AND('Mapa final'!#REF!="Muy Baja",'Mapa final'!#REF!="Catastrófico"),CONCATENATE("R",'Mapa final'!#REF!),"")</f>
        <v>#REF!</v>
      </c>
      <c r="AM42" s="755"/>
      <c r="AN42" s="87"/>
      <c r="AO42" s="87"/>
      <c r="AP42" s="87"/>
      <c r="AQ42" s="87"/>
      <c r="AR42" s="87"/>
      <c r="AS42" s="87"/>
      <c r="AT42" s="87"/>
      <c r="AU42" s="87"/>
      <c r="AV42" s="87"/>
      <c r="AW42" s="87"/>
      <c r="AX42" s="87"/>
      <c r="AY42" s="87"/>
      <c r="AZ42" s="87"/>
      <c r="BA42" s="87"/>
      <c r="BB42" s="87"/>
      <c r="BC42" s="87"/>
      <c r="BD42" s="87"/>
      <c r="BE42" s="87"/>
      <c r="BF42" s="87"/>
      <c r="BG42" s="87"/>
      <c r="BH42" s="87"/>
      <c r="BI42" s="87"/>
      <c r="BJ42" s="87"/>
      <c r="BK42" s="87"/>
      <c r="BL42" s="87"/>
      <c r="BM42" s="87"/>
      <c r="BN42" s="87"/>
      <c r="BO42" s="87"/>
      <c r="BP42" s="87"/>
      <c r="BQ42" s="87"/>
      <c r="BR42" s="87"/>
      <c r="BS42" s="87"/>
      <c r="BT42" s="87"/>
      <c r="BU42" s="87"/>
      <c r="BV42" s="87"/>
      <c r="BW42" s="87"/>
      <c r="BX42" s="87"/>
      <c r="BY42" s="87"/>
      <c r="BZ42" s="87"/>
      <c r="CA42" s="87"/>
      <c r="CB42" s="87"/>
    </row>
    <row r="43" spans="1:80" x14ac:dyDescent="0.25">
      <c r="A43" s="87"/>
      <c r="B43" s="695"/>
      <c r="C43" s="695"/>
      <c r="D43" s="696"/>
      <c r="E43" s="736"/>
      <c r="F43" s="737"/>
      <c r="G43" s="737"/>
      <c r="H43" s="737"/>
      <c r="I43" s="738"/>
      <c r="J43" s="773"/>
      <c r="K43" s="771"/>
      <c r="L43" s="771"/>
      <c r="M43" s="771"/>
      <c r="N43" s="771"/>
      <c r="O43" s="772"/>
      <c r="P43" s="773"/>
      <c r="Q43" s="771"/>
      <c r="R43" s="771"/>
      <c r="S43" s="771"/>
      <c r="T43" s="771"/>
      <c r="U43" s="772"/>
      <c r="V43" s="762"/>
      <c r="W43" s="763"/>
      <c r="X43" s="763"/>
      <c r="Y43" s="763"/>
      <c r="Z43" s="763"/>
      <c r="AA43" s="764"/>
      <c r="AB43" s="746"/>
      <c r="AC43" s="742"/>
      <c r="AD43" s="742"/>
      <c r="AE43" s="742"/>
      <c r="AF43" s="742"/>
      <c r="AG43" s="743"/>
      <c r="AH43" s="753"/>
      <c r="AI43" s="754"/>
      <c r="AJ43" s="754"/>
      <c r="AK43" s="754"/>
      <c r="AL43" s="754"/>
      <c r="AM43" s="755"/>
      <c r="AN43" s="87"/>
      <c r="AO43" s="87"/>
      <c r="AP43" s="87"/>
      <c r="AQ43" s="87"/>
      <c r="AR43" s="87"/>
      <c r="AS43" s="87"/>
      <c r="AT43" s="87"/>
      <c r="AU43" s="87"/>
      <c r="AV43" s="87"/>
      <c r="AW43" s="87"/>
      <c r="AX43" s="87"/>
      <c r="AY43" s="87"/>
      <c r="AZ43" s="87"/>
      <c r="BA43" s="87"/>
      <c r="BB43" s="87"/>
      <c r="BC43" s="87"/>
      <c r="BD43" s="87"/>
      <c r="BE43" s="87"/>
      <c r="BF43" s="87"/>
      <c r="BG43" s="87"/>
      <c r="BH43" s="87"/>
      <c r="BI43" s="87"/>
      <c r="BJ43" s="87"/>
      <c r="BK43" s="87"/>
      <c r="BL43" s="87"/>
      <c r="BM43" s="87"/>
      <c r="BN43" s="87"/>
      <c r="BO43" s="87"/>
      <c r="BP43" s="87"/>
      <c r="BQ43" s="87"/>
      <c r="BR43" s="87"/>
      <c r="BS43" s="87"/>
      <c r="BT43" s="87"/>
      <c r="BU43" s="87"/>
      <c r="BV43" s="87"/>
      <c r="BW43" s="87"/>
      <c r="BX43" s="87"/>
      <c r="BY43" s="87"/>
      <c r="BZ43" s="87"/>
      <c r="CA43" s="87"/>
      <c r="CB43" s="87"/>
    </row>
    <row r="44" spans="1:80" x14ac:dyDescent="0.25">
      <c r="A44" s="87"/>
      <c r="B44" s="695"/>
      <c r="C44" s="695"/>
      <c r="D44" s="696"/>
      <c r="E44" s="736"/>
      <c r="F44" s="737"/>
      <c r="G44" s="737"/>
      <c r="H44" s="737"/>
      <c r="I44" s="738"/>
      <c r="J44" s="773" t="e">
        <f>IF(AND('Mapa final'!#REF!="Muy Baja",'Mapa final'!#REF!="Leve"),CONCATENATE("R",'Mapa final'!#REF!),"")</f>
        <v>#REF!</v>
      </c>
      <c r="K44" s="771"/>
      <c r="L44" s="771" t="str">
        <f>IF(AND('Mapa final'!$L$96="Muy Baja",'Mapa final'!$P$96="Leve"),CONCATENATE("R",'Mapa final'!$E$96),"")</f>
        <v/>
      </c>
      <c r="M44" s="771"/>
      <c r="N44" s="771" t="str">
        <f>IF(AND('Mapa final'!$L$102="Muy Baja",'Mapa final'!$P$102="Leve"),CONCATENATE("R",'Mapa final'!$E$102),"")</f>
        <v/>
      </c>
      <c r="O44" s="772"/>
      <c r="P44" s="773" t="e">
        <f>IF(AND('Mapa final'!#REF!="Muy Baja",'Mapa final'!#REF!="Menor"),CONCATENATE("R",'Mapa final'!#REF!),"")</f>
        <v>#REF!</v>
      </c>
      <c r="Q44" s="771"/>
      <c r="R44" s="771" t="str">
        <f>IF(AND('Mapa final'!$L$96="Muy Baja",'Mapa final'!$P$96="Menor"),CONCATENATE("R",'Mapa final'!$E$96),"")</f>
        <v/>
      </c>
      <c r="S44" s="771"/>
      <c r="T44" s="771" t="str">
        <f>IF(AND('Mapa final'!$L$102="Muy Baja",'Mapa final'!$P$102="Menor"),CONCATENATE("R",'Mapa final'!$E$102),"")</f>
        <v/>
      </c>
      <c r="U44" s="772"/>
      <c r="V44" s="762" t="e">
        <f>IF(AND('Mapa final'!#REF!="Muy Baja",'Mapa final'!#REF!="Moderado"),CONCATENATE("R",'Mapa final'!#REF!),"")</f>
        <v>#REF!</v>
      </c>
      <c r="W44" s="763"/>
      <c r="X44" s="763" t="str">
        <f>IF(AND('Mapa final'!$L$96="Muy Baja",'Mapa final'!$P$96="Moderado"),CONCATENATE("R",'Mapa final'!$E$96),"")</f>
        <v/>
      </c>
      <c r="Y44" s="763"/>
      <c r="Z44" s="763" t="str">
        <f>IF(AND('Mapa final'!$L$102="Muy Baja",'Mapa final'!$P$102="Moderado"),CONCATENATE("R",'Mapa final'!$E$102),"")</f>
        <v/>
      </c>
      <c r="AA44" s="764"/>
      <c r="AB44" s="746" t="e">
        <f>IF(AND('Mapa final'!#REF!="Muy Baja",'Mapa final'!#REF!="Mayor"),CONCATENATE("R",'Mapa final'!#REF!),"")</f>
        <v>#REF!</v>
      </c>
      <c r="AC44" s="742"/>
      <c r="AD44" s="742" t="str">
        <f>IF(AND('Mapa final'!$L$96="Muy Baja",'Mapa final'!$P$96="Mayor"),CONCATENATE("R",'Mapa final'!$E$96),"")</f>
        <v/>
      </c>
      <c r="AE44" s="742"/>
      <c r="AF44" s="742" t="str">
        <f>IF(AND('Mapa final'!$L$102="Muy Baja",'Mapa final'!$P$102="Mayor"),CONCATENATE("R",'Mapa final'!$E$102),"")</f>
        <v/>
      </c>
      <c r="AG44" s="743"/>
      <c r="AH44" s="753" t="e">
        <f>IF(AND('Mapa final'!#REF!="Muy Baja",'Mapa final'!#REF!="Catastrófico"),CONCATENATE("R",'Mapa final'!#REF!),"")</f>
        <v>#REF!</v>
      </c>
      <c r="AI44" s="754"/>
      <c r="AJ44" s="754" t="str">
        <f>IF(AND('Mapa final'!$L$96="Muy Baja",'Mapa final'!$P$96="Catastrófico"),CONCATENATE("R",'Mapa final'!$E$96),"")</f>
        <v/>
      </c>
      <c r="AK44" s="754"/>
      <c r="AL44" s="754" t="str">
        <f>IF(AND('Mapa final'!$L$102="Muy Baja",'Mapa final'!$P$102="Catastrófico"),CONCATENATE("R",'Mapa final'!$E$102),"")</f>
        <v/>
      </c>
      <c r="AM44" s="755"/>
      <c r="AN44" s="87"/>
      <c r="AO44" s="87"/>
      <c r="AP44" s="87"/>
      <c r="AQ44" s="87"/>
      <c r="AR44" s="87"/>
      <c r="AS44" s="87"/>
      <c r="AT44" s="87"/>
      <c r="AU44" s="87"/>
      <c r="AV44" s="87"/>
      <c r="AW44" s="87"/>
      <c r="AX44" s="87"/>
      <c r="AY44" s="87"/>
      <c r="AZ44" s="87"/>
      <c r="BA44" s="87"/>
      <c r="BB44" s="87"/>
      <c r="BC44" s="87"/>
      <c r="BD44" s="87"/>
      <c r="BE44" s="87"/>
      <c r="BF44" s="87"/>
      <c r="BG44" s="87"/>
      <c r="BH44" s="87"/>
      <c r="BI44" s="87"/>
      <c r="BJ44" s="87"/>
      <c r="BK44" s="87"/>
      <c r="BL44" s="87"/>
      <c r="BM44" s="87"/>
      <c r="BN44" s="87"/>
      <c r="BO44" s="87"/>
      <c r="BP44" s="87"/>
      <c r="BQ44" s="87"/>
      <c r="BR44" s="87"/>
      <c r="BS44" s="87"/>
      <c r="BT44" s="87"/>
      <c r="BU44" s="87"/>
      <c r="BV44" s="87"/>
      <c r="BW44" s="87"/>
      <c r="BX44" s="87"/>
      <c r="BY44" s="87"/>
      <c r="BZ44" s="87"/>
      <c r="CA44" s="87"/>
      <c r="CB44" s="87"/>
    </row>
    <row r="45" spans="1:80" ht="15.75" thickBot="1" x14ac:dyDescent="0.3">
      <c r="A45" s="87"/>
      <c r="B45" s="695"/>
      <c r="C45" s="695"/>
      <c r="D45" s="696"/>
      <c r="E45" s="739"/>
      <c r="F45" s="740"/>
      <c r="G45" s="740"/>
      <c r="H45" s="740"/>
      <c r="I45" s="741"/>
      <c r="J45" s="774"/>
      <c r="K45" s="775"/>
      <c r="L45" s="775"/>
      <c r="M45" s="775"/>
      <c r="N45" s="775"/>
      <c r="O45" s="776"/>
      <c r="P45" s="774"/>
      <c r="Q45" s="775"/>
      <c r="R45" s="775"/>
      <c r="S45" s="775"/>
      <c r="T45" s="775"/>
      <c r="U45" s="776"/>
      <c r="V45" s="765"/>
      <c r="W45" s="766"/>
      <c r="X45" s="766"/>
      <c r="Y45" s="766"/>
      <c r="Z45" s="766"/>
      <c r="AA45" s="767"/>
      <c r="AB45" s="750"/>
      <c r="AC45" s="751"/>
      <c r="AD45" s="751"/>
      <c r="AE45" s="751"/>
      <c r="AF45" s="751"/>
      <c r="AG45" s="752"/>
      <c r="AH45" s="756"/>
      <c r="AI45" s="757"/>
      <c r="AJ45" s="757"/>
      <c r="AK45" s="757"/>
      <c r="AL45" s="757"/>
      <c r="AM45" s="758"/>
      <c r="AN45" s="87"/>
      <c r="AO45" s="87"/>
      <c r="AP45" s="87"/>
      <c r="AQ45" s="87"/>
      <c r="AR45" s="87"/>
      <c r="AS45" s="87"/>
      <c r="AT45" s="87"/>
      <c r="AU45" s="87"/>
      <c r="AV45" s="87"/>
      <c r="AW45" s="87"/>
      <c r="AX45" s="87"/>
      <c r="AY45" s="87"/>
      <c r="AZ45" s="87"/>
      <c r="BA45" s="87"/>
      <c r="BB45" s="87"/>
      <c r="BC45" s="87"/>
      <c r="BD45" s="87"/>
      <c r="BE45" s="87"/>
      <c r="BF45" s="87"/>
      <c r="BG45" s="87"/>
      <c r="BH45" s="87"/>
      <c r="BI45" s="87"/>
      <c r="BJ45" s="87"/>
      <c r="BK45" s="87"/>
      <c r="BL45" s="87"/>
      <c r="BM45" s="87"/>
      <c r="BN45" s="87"/>
      <c r="BO45" s="87"/>
      <c r="BP45" s="87"/>
      <c r="BQ45" s="87"/>
      <c r="BR45" s="87"/>
      <c r="BS45" s="87"/>
      <c r="BT45" s="87"/>
      <c r="BU45" s="87"/>
      <c r="BV45" s="87"/>
      <c r="BW45" s="87"/>
      <c r="BX45" s="87"/>
      <c r="BY45" s="87"/>
      <c r="BZ45" s="87"/>
      <c r="CA45" s="87"/>
      <c r="CB45" s="87"/>
    </row>
    <row r="46" spans="1:80" x14ac:dyDescent="0.25">
      <c r="A46" s="87"/>
      <c r="B46" s="87"/>
      <c r="C46" s="87"/>
      <c r="D46" s="87"/>
      <c r="E46" s="87"/>
      <c r="F46" s="87"/>
      <c r="G46" s="87"/>
      <c r="H46" s="87"/>
      <c r="I46" s="87"/>
      <c r="J46" s="733" t="s">
        <v>468</v>
      </c>
      <c r="K46" s="734"/>
      <c r="L46" s="734"/>
      <c r="M46" s="734"/>
      <c r="N46" s="734"/>
      <c r="O46" s="735"/>
      <c r="P46" s="733" t="s">
        <v>469</v>
      </c>
      <c r="Q46" s="734"/>
      <c r="R46" s="734"/>
      <c r="S46" s="734"/>
      <c r="T46" s="734"/>
      <c r="U46" s="735"/>
      <c r="V46" s="733" t="s">
        <v>470</v>
      </c>
      <c r="W46" s="734"/>
      <c r="X46" s="734"/>
      <c r="Y46" s="734"/>
      <c r="Z46" s="734"/>
      <c r="AA46" s="735"/>
      <c r="AB46" s="733" t="s">
        <v>471</v>
      </c>
      <c r="AC46" s="749"/>
      <c r="AD46" s="734"/>
      <c r="AE46" s="734"/>
      <c r="AF46" s="734"/>
      <c r="AG46" s="735"/>
      <c r="AH46" s="733" t="s">
        <v>472</v>
      </c>
      <c r="AI46" s="734"/>
      <c r="AJ46" s="734"/>
      <c r="AK46" s="734"/>
      <c r="AL46" s="734"/>
      <c r="AM46" s="735"/>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87"/>
      <c r="BN46" s="87"/>
      <c r="BO46" s="87"/>
      <c r="BP46" s="87"/>
      <c r="BQ46" s="87"/>
      <c r="BR46" s="87"/>
      <c r="BS46" s="87"/>
      <c r="BT46" s="87"/>
      <c r="BU46" s="87"/>
      <c r="BV46" s="87"/>
      <c r="BW46" s="87"/>
      <c r="BX46" s="87"/>
      <c r="BY46" s="87"/>
      <c r="BZ46" s="87"/>
      <c r="CA46" s="87"/>
      <c r="CB46" s="87"/>
    </row>
    <row r="47" spans="1:80" x14ac:dyDescent="0.25">
      <c r="A47" s="87"/>
      <c r="B47" s="87"/>
      <c r="C47" s="87"/>
      <c r="D47" s="87"/>
      <c r="E47" s="87"/>
      <c r="F47" s="87"/>
      <c r="G47" s="87"/>
      <c r="H47" s="87"/>
      <c r="I47" s="87"/>
      <c r="J47" s="736"/>
      <c r="K47" s="737"/>
      <c r="L47" s="737"/>
      <c r="M47" s="737"/>
      <c r="N47" s="737"/>
      <c r="O47" s="738"/>
      <c r="P47" s="736"/>
      <c r="Q47" s="737"/>
      <c r="R47" s="737"/>
      <c r="S47" s="737"/>
      <c r="T47" s="737"/>
      <c r="U47" s="738"/>
      <c r="V47" s="736"/>
      <c r="W47" s="737"/>
      <c r="X47" s="737"/>
      <c r="Y47" s="737"/>
      <c r="Z47" s="737"/>
      <c r="AA47" s="738"/>
      <c r="AB47" s="736"/>
      <c r="AC47" s="737"/>
      <c r="AD47" s="737"/>
      <c r="AE47" s="737"/>
      <c r="AF47" s="737"/>
      <c r="AG47" s="738"/>
      <c r="AH47" s="736"/>
      <c r="AI47" s="737"/>
      <c r="AJ47" s="737"/>
      <c r="AK47" s="737"/>
      <c r="AL47" s="737"/>
      <c r="AM47" s="738"/>
      <c r="AN47" s="87"/>
      <c r="AO47" s="87"/>
      <c r="AP47" s="87"/>
      <c r="AQ47" s="87"/>
      <c r="AR47" s="87"/>
      <c r="AS47" s="87"/>
      <c r="AT47" s="87"/>
      <c r="AU47" s="87"/>
      <c r="AV47" s="87"/>
      <c r="AW47" s="87"/>
      <c r="AX47" s="87"/>
      <c r="AY47" s="87"/>
      <c r="AZ47" s="87"/>
      <c r="BA47" s="87"/>
      <c r="BB47" s="87"/>
      <c r="BC47" s="87"/>
      <c r="BD47" s="87"/>
      <c r="BE47" s="87"/>
      <c r="BF47" s="87"/>
      <c r="BG47" s="87"/>
      <c r="BH47" s="87"/>
      <c r="BI47" s="87"/>
      <c r="BJ47" s="87"/>
      <c r="BK47" s="87"/>
      <c r="BL47" s="87"/>
      <c r="BM47" s="87"/>
      <c r="BN47" s="87"/>
      <c r="BO47" s="87"/>
      <c r="BP47" s="87"/>
      <c r="BQ47" s="87"/>
      <c r="BR47" s="87"/>
      <c r="BS47" s="87"/>
      <c r="BT47" s="87"/>
      <c r="BU47" s="87"/>
      <c r="BV47" s="87"/>
      <c r="BW47" s="87"/>
      <c r="BX47" s="87"/>
      <c r="BY47" s="87"/>
      <c r="BZ47" s="87"/>
      <c r="CA47" s="87"/>
      <c r="CB47" s="87"/>
    </row>
    <row r="48" spans="1:80" x14ac:dyDescent="0.25">
      <c r="A48" s="87"/>
      <c r="B48" s="87"/>
      <c r="C48" s="87"/>
      <c r="D48" s="87"/>
      <c r="E48" s="87"/>
      <c r="F48" s="87"/>
      <c r="G48" s="87"/>
      <c r="H48" s="87"/>
      <c r="I48" s="87"/>
      <c r="J48" s="736"/>
      <c r="K48" s="737"/>
      <c r="L48" s="737"/>
      <c r="M48" s="737"/>
      <c r="N48" s="737"/>
      <c r="O48" s="738"/>
      <c r="P48" s="736"/>
      <c r="Q48" s="737"/>
      <c r="R48" s="737"/>
      <c r="S48" s="737"/>
      <c r="T48" s="737"/>
      <c r="U48" s="738"/>
      <c r="V48" s="736"/>
      <c r="W48" s="737"/>
      <c r="X48" s="737"/>
      <c r="Y48" s="737"/>
      <c r="Z48" s="737"/>
      <c r="AA48" s="738"/>
      <c r="AB48" s="736"/>
      <c r="AC48" s="737"/>
      <c r="AD48" s="737"/>
      <c r="AE48" s="737"/>
      <c r="AF48" s="737"/>
      <c r="AG48" s="738"/>
      <c r="AH48" s="736"/>
      <c r="AI48" s="737"/>
      <c r="AJ48" s="737"/>
      <c r="AK48" s="737"/>
      <c r="AL48" s="737"/>
      <c r="AM48" s="738"/>
      <c r="AN48" s="87"/>
      <c r="AO48" s="87"/>
      <c r="AP48" s="87"/>
      <c r="AQ48" s="87"/>
      <c r="AR48" s="87"/>
      <c r="AS48" s="87"/>
      <c r="AT48" s="87"/>
      <c r="AU48" s="87"/>
      <c r="AV48" s="87"/>
      <c r="AW48" s="87"/>
      <c r="AX48" s="87"/>
      <c r="AY48" s="87"/>
      <c r="AZ48" s="87"/>
      <c r="BA48" s="87"/>
      <c r="BB48" s="87"/>
      <c r="BC48" s="87"/>
      <c r="BD48" s="87"/>
      <c r="BE48" s="87"/>
      <c r="BF48" s="87"/>
      <c r="BG48" s="87"/>
      <c r="BH48" s="87"/>
      <c r="BI48" s="87"/>
      <c r="BJ48" s="87"/>
      <c r="BK48" s="87"/>
      <c r="BL48" s="87"/>
      <c r="BM48" s="87"/>
      <c r="BN48" s="87"/>
      <c r="BO48" s="87"/>
      <c r="BP48" s="87"/>
      <c r="BQ48" s="87"/>
      <c r="BR48" s="87"/>
      <c r="BS48" s="87"/>
      <c r="BT48" s="87"/>
      <c r="BU48" s="87"/>
      <c r="BV48" s="87"/>
      <c r="BW48" s="87"/>
      <c r="BX48" s="87"/>
      <c r="BY48" s="87"/>
      <c r="BZ48" s="87"/>
      <c r="CA48" s="87"/>
      <c r="CB48" s="87"/>
    </row>
    <row r="49" spans="1:80" x14ac:dyDescent="0.25">
      <c r="A49" s="87"/>
      <c r="B49" s="87"/>
      <c r="C49" s="87"/>
      <c r="D49" s="87"/>
      <c r="E49" s="87"/>
      <c r="F49" s="87"/>
      <c r="G49" s="87"/>
      <c r="H49" s="87"/>
      <c r="I49" s="87"/>
      <c r="J49" s="736"/>
      <c r="K49" s="737"/>
      <c r="L49" s="737"/>
      <c r="M49" s="737"/>
      <c r="N49" s="737"/>
      <c r="O49" s="738"/>
      <c r="P49" s="736"/>
      <c r="Q49" s="737"/>
      <c r="R49" s="737"/>
      <c r="S49" s="737"/>
      <c r="T49" s="737"/>
      <c r="U49" s="738"/>
      <c r="V49" s="736"/>
      <c r="W49" s="737"/>
      <c r="X49" s="737"/>
      <c r="Y49" s="737"/>
      <c r="Z49" s="737"/>
      <c r="AA49" s="738"/>
      <c r="AB49" s="736"/>
      <c r="AC49" s="737"/>
      <c r="AD49" s="737"/>
      <c r="AE49" s="737"/>
      <c r="AF49" s="737"/>
      <c r="AG49" s="738"/>
      <c r="AH49" s="736"/>
      <c r="AI49" s="737"/>
      <c r="AJ49" s="737"/>
      <c r="AK49" s="737"/>
      <c r="AL49" s="737"/>
      <c r="AM49" s="738"/>
      <c r="AN49" s="87"/>
      <c r="AO49" s="87"/>
      <c r="AP49" s="87"/>
      <c r="AQ49" s="87"/>
      <c r="AR49" s="87"/>
      <c r="AS49" s="87"/>
      <c r="AT49" s="87"/>
      <c r="AU49" s="87"/>
      <c r="AV49" s="87"/>
      <c r="AW49" s="87"/>
      <c r="AX49" s="87"/>
      <c r="AY49" s="87"/>
      <c r="AZ49" s="87"/>
      <c r="BA49" s="87"/>
      <c r="BB49" s="87"/>
      <c r="BC49" s="87"/>
      <c r="BD49" s="87"/>
      <c r="BE49" s="87"/>
      <c r="BF49" s="87"/>
      <c r="BG49" s="87"/>
      <c r="BH49" s="87"/>
      <c r="BI49" s="87"/>
      <c r="BJ49" s="87"/>
      <c r="BK49" s="87"/>
      <c r="BL49" s="87"/>
      <c r="BM49" s="87"/>
      <c r="BN49" s="87"/>
      <c r="BO49" s="87"/>
      <c r="BP49" s="87"/>
      <c r="BQ49" s="87"/>
      <c r="BR49" s="87"/>
      <c r="BS49" s="87"/>
      <c r="BT49" s="87"/>
      <c r="BU49" s="87"/>
      <c r="BV49" s="87"/>
      <c r="BW49" s="87"/>
      <c r="BX49" s="87"/>
      <c r="BY49" s="87"/>
      <c r="BZ49" s="87"/>
      <c r="CA49" s="87"/>
      <c r="CB49" s="87"/>
    </row>
    <row r="50" spans="1:80" x14ac:dyDescent="0.25">
      <c r="A50" s="87"/>
      <c r="B50" s="87"/>
      <c r="C50" s="87"/>
      <c r="D50" s="87"/>
      <c r="E50" s="87"/>
      <c r="F50" s="87"/>
      <c r="G50" s="87"/>
      <c r="H50" s="87"/>
      <c r="I50" s="87"/>
      <c r="J50" s="736"/>
      <c r="K50" s="737"/>
      <c r="L50" s="737"/>
      <c r="M50" s="737"/>
      <c r="N50" s="737"/>
      <c r="O50" s="738"/>
      <c r="P50" s="736"/>
      <c r="Q50" s="737"/>
      <c r="R50" s="737"/>
      <c r="S50" s="737"/>
      <c r="T50" s="737"/>
      <c r="U50" s="738"/>
      <c r="V50" s="736"/>
      <c r="W50" s="737"/>
      <c r="X50" s="737"/>
      <c r="Y50" s="737"/>
      <c r="Z50" s="737"/>
      <c r="AA50" s="738"/>
      <c r="AB50" s="736"/>
      <c r="AC50" s="737"/>
      <c r="AD50" s="737"/>
      <c r="AE50" s="737"/>
      <c r="AF50" s="737"/>
      <c r="AG50" s="738"/>
      <c r="AH50" s="736"/>
      <c r="AI50" s="737"/>
      <c r="AJ50" s="737"/>
      <c r="AK50" s="737"/>
      <c r="AL50" s="737"/>
      <c r="AM50" s="738"/>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c r="BP50" s="87"/>
      <c r="BQ50" s="87"/>
      <c r="BR50" s="87"/>
      <c r="BS50" s="87"/>
      <c r="BT50" s="87"/>
      <c r="BU50" s="87"/>
      <c r="BV50" s="87"/>
      <c r="BW50" s="87"/>
      <c r="BX50" s="87"/>
      <c r="BY50" s="87"/>
      <c r="BZ50" s="87"/>
      <c r="CA50" s="87"/>
      <c r="CB50" s="87"/>
    </row>
    <row r="51" spans="1:80" ht="15.75" thickBot="1" x14ac:dyDescent="0.3">
      <c r="A51" s="87"/>
      <c r="B51" s="87"/>
      <c r="C51" s="87"/>
      <c r="D51" s="87"/>
      <c r="E51" s="87"/>
      <c r="F51" s="87"/>
      <c r="G51" s="87"/>
      <c r="H51" s="87"/>
      <c r="I51" s="87"/>
      <c r="J51" s="739"/>
      <c r="K51" s="740"/>
      <c r="L51" s="740"/>
      <c r="M51" s="740"/>
      <c r="N51" s="740"/>
      <c r="O51" s="741"/>
      <c r="P51" s="739"/>
      <c r="Q51" s="740"/>
      <c r="R51" s="740"/>
      <c r="S51" s="740"/>
      <c r="T51" s="740"/>
      <c r="U51" s="741"/>
      <c r="V51" s="739"/>
      <c r="W51" s="740"/>
      <c r="X51" s="740"/>
      <c r="Y51" s="740"/>
      <c r="Z51" s="740"/>
      <c r="AA51" s="741"/>
      <c r="AB51" s="739"/>
      <c r="AC51" s="740"/>
      <c r="AD51" s="740"/>
      <c r="AE51" s="740"/>
      <c r="AF51" s="740"/>
      <c r="AG51" s="741"/>
      <c r="AH51" s="739"/>
      <c r="AI51" s="740"/>
      <c r="AJ51" s="740"/>
      <c r="AK51" s="740"/>
      <c r="AL51" s="740"/>
      <c r="AM51" s="741"/>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c r="BP51" s="87"/>
      <c r="BQ51" s="87"/>
      <c r="BR51" s="87"/>
      <c r="BS51" s="87"/>
      <c r="BT51" s="87"/>
      <c r="BU51" s="87"/>
      <c r="BV51" s="87"/>
      <c r="BW51" s="87"/>
      <c r="BX51" s="87"/>
      <c r="BY51" s="87"/>
      <c r="BZ51" s="87"/>
      <c r="CA51" s="87"/>
      <c r="CB51" s="87"/>
    </row>
    <row r="52" spans="1:80" x14ac:dyDescent="0.25">
      <c r="A52" s="87"/>
      <c r="B52" s="87"/>
      <c r="C52" s="87"/>
      <c r="D52" s="87"/>
      <c r="E52" s="87"/>
      <c r="F52" s="87"/>
      <c r="G52" s="87"/>
      <c r="H52" s="87"/>
      <c r="I52" s="87"/>
      <c r="J52" s="87"/>
      <c r="K52" s="87"/>
      <c r="L52" s="87"/>
      <c r="M52" s="87"/>
      <c r="N52" s="87"/>
      <c r="O52" s="87"/>
      <c r="P52" s="87"/>
      <c r="Q52" s="87"/>
      <c r="R52" s="87"/>
      <c r="S52" s="87"/>
      <c r="T52" s="87"/>
      <c r="U52" s="87"/>
      <c r="V52" s="87"/>
      <c r="W52" s="87"/>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c r="BP52" s="87"/>
      <c r="BQ52" s="87"/>
      <c r="BR52" s="87"/>
      <c r="BS52" s="87"/>
      <c r="BT52" s="87"/>
      <c r="BU52" s="87"/>
      <c r="BV52" s="87"/>
      <c r="BW52" s="87"/>
      <c r="BX52" s="87"/>
      <c r="BY52" s="87"/>
      <c r="BZ52" s="87"/>
      <c r="CA52" s="87"/>
      <c r="CB52" s="87"/>
    </row>
    <row r="53" spans="1:80" ht="15" customHeight="1" x14ac:dyDescent="0.25">
      <c r="A53" s="87"/>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1"/>
      <c r="AK53" s="91"/>
      <c r="AL53" s="91"/>
      <c r="AM53" s="91"/>
      <c r="AN53" s="91"/>
      <c r="AO53" s="91"/>
      <c r="AP53" s="91"/>
      <c r="AQ53" s="91"/>
      <c r="AR53" s="91"/>
      <c r="AS53" s="91"/>
      <c r="AT53" s="91"/>
      <c r="AU53" s="87"/>
      <c r="AV53" s="87"/>
      <c r="AW53" s="87"/>
      <c r="AX53" s="87"/>
      <c r="AY53" s="87"/>
      <c r="AZ53" s="87"/>
      <c r="BA53" s="87"/>
      <c r="BB53" s="87"/>
      <c r="BC53" s="87"/>
      <c r="BD53" s="87"/>
      <c r="BE53" s="87"/>
      <c r="BF53" s="87"/>
      <c r="BG53" s="87"/>
      <c r="BH53" s="87"/>
      <c r="BI53" s="87"/>
      <c r="BJ53" s="87"/>
      <c r="BK53" s="87"/>
      <c r="BL53" s="87"/>
      <c r="BM53" s="87"/>
      <c r="BN53" s="87"/>
      <c r="BO53" s="87"/>
      <c r="BP53" s="87"/>
      <c r="BQ53" s="87"/>
      <c r="BR53" s="87"/>
      <c r="BS53" s="87"/>
      <c r="BT53" s="87"/>
      <c r="BU53" s="87"/>
      <c r="BV53" s="87"/>
      <c r="BW53" s="87"/>
      <c r="BX53" s="87"/>
      <c r="BY53" s="87"/>
      <c r="BZ53" s="87"/>
      <c r="CA53" s="87"/>
      <c r="CB53" s="87"/>
    </row>
    <row r="54" spans="1:80" ht="15" customHeight="1" x14ac:dyDescent="0.25">
      <c r="A54" s="87"/>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c r="AO54" s="91"/>
      <c r="AP54" s="91"/>
      <c r="AQ54" s="91"/>
      <c r="AR54" s="91"/>
      <c r="AS54" s="91"/>
      <c r="AT54" s="91"/>
      <c r="AU54" s="87"/>
      <c r="AV54" s="87"/>
      <c r="AW54" s="87"/>
      <c r="AX54" s="87"/>
      <c r="AY54" s="87"/>
      <c r="AZ54" s="87"/>
      <c r="BA54" s="87"/>
      <c r="BB54" s="87"/>
      <c r="BC54" s="87"/>
      <c r="BD54" s="87"/>
      <c r="BE54" s="87"/>
      <c r="BF54" s="87"/>
      <c r="BG54" s="87"/>
      <c r="BH54" s="87"/>
      <c r="BI54" s="87"/>
      <c r="BJ54" s="87"/>
      <c r="BK54" s="87"/>
      <c r="BL54" s="87"/>
      <c r="BM54" s="87"/>
      <c r="BN54" s="87"/>
      <c r="BO54" s="87"/>
      <c r="BP54" s="87"/>
      <c r="BQ54" s="87"/>
      <c r="BR54" s="87"/>
      <c r="BS54" s="87"/>
      <c r="BT54" s="87"/>
      <c r="BU54" s="87"/>
      <c r="BV54" s="87"/>
      <c r="BW54" s="87"/>
      <c r="BX54" s="87"/>
      <c r="BY54" s="87"/>
      <c r="BZ54" s="87"/>
      <c r="CA54" s="87"/>
      <c r="CB54" s="87"/>
    </row>
    <row r="55" spans="1:80" x14ac:dyDescent="0.25">
      <c r="A55" s="87"/>
      <c r="B55" s="87"/>
      <c r="C55" s="87"/>
      <c r="D55" s="87"/>
      <c r="E55" s="87"/>
      <c r="F55" s="87"/>
      <c r="G55" s="87"/>
      <c r="H55" s="87"/>
      <c r="I55" s="87"/>
      <c r="J55" s="87"/>
      <c r="K55" s="87"/>
      <c r="L55" s="87"/>
      <c r="M55" s="87"/>
      <c r="N55" s="87"/>
      <c r="O55" s="87"/>
      <c r="P55" s="87"/>
      <c r="Q55" s="87"/>
      <c r="R55" s="87"/>
      <c r="S55" s="87"/>
      <c r="T55" s="87"/>
      <c r="U55" s="87"/>
      <c r="V55" s="87"/>
      <c r="W55" s="87"/>
      <c r="X55" s="87"/>
      <c r="Y55" s="87"/>
      <c r="Z55" s="87"/>
      <c r="AA55" s="87"/>
      <c r="AB55" s="87"/>
      <c r="AC55" s="87"/>
      <c r="AD55" s="87"/>
      <c r="AE55" s="87"/>
      <c r="AF55" s="87"/>
      <c r="AG55" s="87"/>
      <c r="AH55" s="87"/>
      <c r="AI55" s="87"/>
      <c r="AJ55" s="87"/>
      <c r="AK55" s="87"/>
      <c r="AL55" s="87"/>
      <c r="AM55" s="87"/>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row>
    <row r="56" spans="1:80" x14ac:dyDescent="0.25">
      <c r="A56" s="87"/>
      <c r="B56" s="87"/>
      <c r="C56" s="87"/>
      <c r="D56" s="87"/>
      <c r="E56" s="87"/>
      <c r="F56" s="87"/>
      <c r="G56" s="87"/>
      <c r="H56" s="87"/>
      <c r="I56" s="87"/>
      <c r="J56" s="87"/>
      <c r="K56" s="87"/>
      <c r="L56" s="87"/>
      <c r="M56" s="87"/>
      <c r="N56" s="87"/>
      <c r="O56" s="87"/>
      <c r="P56" s="87"/>
      <c r="Q56" s="87"/>
      <c r="R56" s="87"/>
      <c r="S56" s="87"/>
      <c r="T56" s="87"/>
      <c r="U56" s="87"/>
      <c r="V56" s="87"/>
      <c r="W56" s="87"/>
      <c r="X56" s="87"/>
      <c r="Y56" s="87"/>
      <c r="Z56" s="87"/>
      <c r="AA56" s="87"/>
      <c r="AB56" s="87"/>
      <c r="AC56" s="87"/>
      <c r="AD56" s="87"/>
      <c r="AE56" s="87"/>
      <c r="AF56" s="87"/>
      <c r="AG56" s="87"/>
      <c r="AH56" s="87"/>
      <c r="AI56" s="87"/>
      <c r="AJ56" s="87"/>
      <c r="AK56" s="87"/>
      <c r="AL56" s="87"/>
      <c r="AM56" s="87"/>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87"/>
      <c r="BU56" s="87"/>
      <c r="BV56" s="87"/>
      <c r="BW56" s="87"/>
      <c r="BX56" s="87"/>
      <c r="BY56" s="87"/>
      <c r="BZ56" s="87"/>
      <c r="CA56" s="87"/>
      <c r="CB56" s="87"/>
    </row>
    <row r="57" spans="1:80" x14ac:dyDescent="0.25">
      <c r="A57" s="87"/>
      <c r="B57" s="87"/>
      <c r="C57" s="87"/>
      <c r="D57" s="87"/>
      <c r="E57" s="87"/>
      <c r="F57" s="87"/>
      <c r="G57" s="87"/>
      <c r="H57" s="87"/>
      <c r="I57" s="87"/>
      <c r="J57" s="87"/>
      <c r="K57" s="87"/>
      <c r="L57" s="87"/>
      <c r="M57" s="87"/>
      <c r="N57" s="87"/>
      <c r="O57" s="87"/>
      <c r="P57" s="87"/>
      <c r="Q57" s="87"/>
      <c r="R57" s="87"/>
      <c r="S57" s="87"/>
      <c r="T57" s="87"/>
      <c r="U57" s="87"/>
      <c r="V57" s="87"/>
      <c r="W57" s="87"/>
      <c r="X57" s="87"/>
      <c r="Y57" s="87"/>
      <c r="Z57" s="87"/>
      <c r="AA57" s="87"/>
      <c r="AB57" s="87"/>
      <c r="AC57" s="87"/>
      <c r="AD57" s="87"/>
      <c r="AE57" s="87"/>
      <c r="AF57" s="87"/>
      <c r="AG57" s="87"/>
      <c r="AH57" s="87"/>
      <c r="AI57" s="87"/>
      <c r="AJ57" s="87"/>
      <c r="AK57" s="87"/>
      <c r="AL57" s="87"/>
      <c r="AM57" s="87"/>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7"/>
      <c r="BZ57" s="87"/>
      <c r="CA57" s="87"/>
      <c r="CB57" s="87"/>
    </row>
    <row r="58" spans="1:80" x14ac:dyDescent="0.25">
      <c r="A58" s="87"/>
      <c r="B58" s="87"/>
      <c r="C58" s="87"/>
      <c r="D58" s="87"/>
      <c r="E58" s="87"/>
      <c r="F58" s="87"/>
      <c r="G58" s="87"/>
      <c r="H58" s="87"/>
      <c r="I58" s="87"/>
      <c r="J58" s="87"/>
      <c r="K58" s="87"/>
      <c r="L58" s="87"/>
      <c r="M58" s="87"/>
      <c r="N58" s="87"/>
      <c r="O58" s="87"/>
      <c r="P58" s="87"/>
      <c r="Q58" s="87"/>
      <c r="R58" s="87"/>
      <c r="S58" s="87"/>
      <c r="T58" s="87"/>
      <c r="U58" s="87"/>
      <c r="V58" s="87"/>
      <c r="W58" s="87"/>
      <c r="X58" s="87"/>
      <c r="Y58" s="87"/>
      <c r="Z58" s="87"/>
      <c r="AA58" s="87"/>
      <c r="AB58" s="87"/>
      <c r="AC58" s="87"/>
      <c r="AD58" s="87"/>
      <c r="AE58" s="87"/>
      <c r="AF58" s="87"/>
      <c r="AG58" s="87"/>
      <c r="AH58" s="87"/>
      <c r="AI58" s="87"/>
      <c r="AJ58" s="87"/>
      <c r="AK58" s="87"/>
      <c r="AL58" s="87"/>
      <c r="AM58" s="87"/>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7"/>
      <c r="BW58" s="87"/>
      <c r="BX58" s="87"/>
      <c r="BY58" s="87"/>
      <c r="BZ58" s="87"/>
      <c r="CA58" s="87"/>
      <c r="CB58" s="87"/>
    </row>
    <row r="59" spans="1:80" x14ac:dyDescent="0.25">
      <c r="A59" s="87"/>
      <c r="B59" s="87"/>
      <c r="C59" s="87"/>
      <c r="D59" s="87"/>
      <c r="E59" s="87"/>
      <c r="F59" s="87"/>
      <c r="G59" s="87"/>
      <c r="H59" s="87"/>
      <c r="I59" s="87"/>
      <c r="J59" s="87"/>
      <c r="K59" s="87"/>
      <c r="L59" s="87"/>
      <c r="M59" s="87"/>
      <c r="N59" s="87"/>
      <c r="O59" s="87"/>
      <c r="P59" s="87"/>
      <c r="Q59" s="87"/>
      <c r="R59" s="87"/>
      <c r="S59" s="87"/>
      <c r="T59" s="87"/>
      <c r="U59" s="87"/>
      <c r="V59" s="87"/>
      <c r="W59" s="87"/>
      <c r="X59" s="87"/>
      <c r="Y59" s="87"/>
      <c r="Z59" s="87"/>
      <c r="AA59" s="87"/>
      <c r="AB59" s="87"/>
      <c r="AC59" s="87"/>
      <c r="AD59" s="87"/>
      <c r="AE59" s="87"/>
      <c r="AF59" s="87"/>
      <c r="AG59" s="87"/>
      <c r="AH59" s="87"/>
      <c r="AI59" s="87"/>
      <c r="AJ59" s="87"/>
      <c r="AK59" s="87"/>
      <c r="AL59" s="87"/>
      <c r="AM59" s="87"/>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87"/>
      <c r="BO59" s="87"/>
      <c r="BP59" s="87"/>
      <c r="BQ59" s="87"/>
      <c r="BR59" s="87"/>
      <c r="BS59" s="87"/>
      <c r="BT59" s="87"/>
      <c r="BU59" s="87"/>
      <c r="BV59" s="87"/>
      <c r="BW59" s="87"/>
      <c r="BX59" s="87"/>
      <c r="BY59" s="87"/>
      <c r="BZ59" s="87"/>
      <c r="CA59" s="87"/>
      <c r="CB59" s="87"/>
    </row>
    <row r="60" spans="1:80" x14ac:dyDescent="0.25">
      <c r="A60" s="87"/>
      <c r="B60" s="87"/>
      <c r="C60" s="87"/>
      <c r="D60" s="87"/>
      <c r="E60" s="87"/>
      <c r="F60" s="87"/>
      <c r="G60" s="87"/>
      <c r="H60" s="87"/>
      <c r="I60" s="87"/>
      <c r="J60" s="87"/>
      <c r="K60" s="87"/>
      <c r="L60" s="87"/>
      <c r="M60" s="87"/>
      <c r="N60" s="87"/>
      <c r="O60" s="87"/>
      <c r="P60" s="87"/>
      <c r="Q60" s="87"/>
      <c r="R60" s="87"/>
      <c r="S60" s="87"/>
      <c r="T60" s="87"/>
      <c r="U60" s="87"/>
      <c r="V60" s="87"/>
      <c r="W60" s="87"/>
      <c r="X60" s="87"/>
      <c r="Y60" s="87"/>
      <c r="Z60" s="87"/>
      <c r="AA60" s="87"/>
      <c r="AB60" s="87"/>
      <c r="AC60" s="87"/>
      <c r="AD60" s="87"/>
      <c r="AE60" s="87"/>
      <c r="AF60" s="87"/>
      <c r="AG60" s="87"/>
      <c r="AH60" s="87"/>
      <c r="AI60" s="87"/>
      <c r="AJ60" s="87"/>
      <c r="AK60" s="87"/>
      <c r="AL60" s="87"/>
      <c r="AM60" s="87"/>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87"/>
      <c r="BU60" s="87"/>
      <c r="BV60" s="87"/>
      <c r="BW60" s="87"/>
      <c r="BX60" s="87"/>
      <c r="BY60" s="87"/>
      <c r="BZ60" s="87"/>
      <c r="CA60" s="87"/>
      <c r="CB60" s="87"/>
    </row>
    <row r="61" spans="1:80" x14ac:dyDescent="0.25">
      <c r="A61" s="87"/>
      <c r="B61" s="87"/>
      <c r="C61" s="87"/>
      <c r="D61" s="87"/>
      <c r="E61" s="87"/>
      <c r="F61" s="87"/>
      <c r="G61" s="87"/>
      <c r="H61" s="87"/>
      <c r="I61" s="87"/>
      <c r="J61" s="87"/>
      <c r="K61" s="87"/>
      <c r="L61" s="87"/>
      <c r="M61" s="87"/>
      <c r="N61" s="87"/>
      <c r="O61" s="87"/>
      <c r="P61" s="87"/>
      <c r="Q61" s="87"/>
      <c r="R61" s="87"/>
      <c r="S61" s="87"/>
      <c r="T61" s="87"/>
      <c r="U61" s="87"/>
      <c r="V61" s="87"/>
      <c r="W61" s="87"/>
      <c r="X61" s="87"/>
      <c r="Y61" s="87"/>
      <c r="Z61" s="87"/>
      <c r="AA61" s="87"/>
      <c r="AB61" s="87"/>
      <c r="AC61" s="87"/>
      <c r="AD61" s="87"/>
      <c r="AE61" s="87"/>
      <c r="AF61" s="87"/>
      <c r="AG61" s="87"/>
      <c r="AH61" s="87"/>
      <c r="AI61" s="87"/>
      <c r="AJ61" s="87"/>
      <c r="AK61" s="87"/>
      <c r="AL61" s="87"/>
      <c r="AM61" s="87"/>
      <c r="AN61" s="87"/>
      <c r="AO61" s="87"/>
      <c r="AP61" s="87"/>
      <c r="AQ61" s="87"/>
      <c r="AR61" s="87"/>
      <c r="AS61" s="87"/>
      <c r="AT61" s="87"/>
      <c r="AU61" s="87"/>
      <c r="AV61" s="87"/>
      <c r="AW61" s="87"/>
      <c r="AX61" s="87"/>
      <c r="AY61" s="87"/>
      <c r="AZ61" s="87"/>
      <c r="BA61" s="87"/>
      <c r="BB61" s="87"/>
      <c r="BC61" s="87"/>
      <c r="BD61" s="87"/>
      <c r="BE61" s="87"/>
      <c r="BF61" s="87"/>
      <c r="BG61" s="87"/>
      <c r="BH61" s="87"/>
      <c r="BI61" s="87"/>
      <c r="BJ61" s="87"/>
      <c r="BK61" s="87"/>
      <c r="BL61" s="87"/>
      <c r="BM61" s="87"/>
      <c r="BN61" s="87"/>
      <c r="BO61" s="87"/>
      <c r="BP61" s="87"/>
      <c r="BQ61" s="87"/>
      <c r="BR61" s="87"/>
      <c r="BS61" s="87"/>
      <c r="BT61" s="87"/>
      <c r="BU61" s="87"/>
      <c r="BV61" s="87"/>
      <c r="BW61" s="87"/>
      <c r="BX61" s="87"/>
      <c r="BY61" s="87"/>
      <c r="BZ61" s="87"/>
      <c r="CA61" s="87"/>
      <c r="CB61" s="87"/>
    </row>
    <row r="62" spans="1:80" x14ac:dyDescent="0.25">
      <c r="A62" s="87"/>
      <c r="B62" s="87"/>
      <c r="C62" s="87"/>
      <c r="D62" s="87"/>
      <c r="E62" s="87"/>
      <c r="F62" s="87"/>
      <c r="G62" s="87"/>
      <c r="H62" s="87"/>
      <c r="I62" s="87"/>
      <c r="J62" s="87"/>
      <c r="K62" s="87"/>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c r="BA62" s="87"/>
      <c r="BB62" s="87"/>
      <c r="BC62" s="87"/>
      <c r="BD62" s="87"/>
      <c r="BE62" s="87"/>
      <c r="BF62" s="87"/>
      <c r="BG62" s="87"/>
      <c r="BH62" s="87"/>
      <c r="BI62" s="87"/>
      <c r="BJ62" s="87"/>
      <c r="BK62" s="87"/>
      <c r="BL62" s="87"/>
      <c r="BM62" s="87"/>
      <c r="BN62" s="87"/>
      <c r="BO62" s="87"/>
      <c r="BP62" s="87"/>
      <c r="BQ62" s="87"/>
      <c r="BR62" s="87"/>
      <c r="BS62" s="87"/>
      <c r="BT62" s="87"/>
      <c r="BU62" s="87"/>
      <c r="BV62" s="87"/>
      <c r="BW62" s="87"/>
      <c r="BX62" s="87"/>
      <c r="BY62" s="87"/>
      <c r="BZ62" s="87"/>
      <c r="CA62" s="87"/>
      <c r="CB62" s="87"/>
    </row>
    <row r="63" spans="1:80" x14ac:dyDescent="0.25">
      <c r="A63" s="87"/>
      <c r="B63" s="87"/>
      <c r="C63" s="87"/>
      <c r="D63" s="87"/>
      <c r="E63" s="87"/>
      <c r="F63" s="87"/>
      <c r="G63" s="87"/>
      <c r="H63" s="87"/>
      <c r="I63" s="87"/>
      <c r="J63" s="87"/>
      <c r="K63" s="87"/>
      <c r="L63" s="87"/>
      <c r="M63" s="87"/>
      <c r="N63" s="87"/>
      <c r="O63" s="87"/>
      <c r="P63" s="87"/>
      <c r="Q63" s="87"/>
      <c r="R63" s="87"/>
      <c r="S63" s="87"/>
      <c r="T63" s="87"/>
      <c r="U63" s="87"/>
      <c r="V63" s="87"/>
      <c r="W63" s="87"/>
      <c r="X63" s="87"/>
      <c r="Y63" s="87"/>
      <c r="Z63" s="87"/>
      <c r="AA63" s="87"/>
      <c r="AB63" s="87"/>
      <c r="AC63" s="87"/>
      <c r="AD63" s="87"/>
      <c r="AE63" s="87"/>
      <c r="AF63" s="87"/>
      <c r="AG63" s="87"/>
      <c r="AH63" s="87"/>
      <c r="AI63" s="87"/>
      <c r="AJ63" s="87"/>
      <c r="AK63" s="87"/>
      <c r="AL63" s="87"/>
      <c r="AM63" s="87"/>
      <c r="AN63" s="87"/>
      <c r="AO63" s="87"/>
      <c r="AP63" s="87"/>
      <c r="AQ63" s="87"/>
      <c r="AR63" s="87"/>
      <c r="AS63" s="87"/>
      <c r="AT63" s="87"/>
      <c r="AU63" s="87"/>
      <c r="AV63" s="87"/>
      <c r="AW63" s="87"/>
      <c r="AX63" s="87"/>
      <c r="AY63" s="87"/>
      <c r="AZ63" s="87"/>
      <c r="BA63" s="87"/>
      <c r="BB63" s="87"/>
      <c r="BC63" s="87"/>
      <c r="BD63" s="87"/>
      <c r="BE63" s="87"/>
      <c r="BF63" s="87"/>
      <c r="BG63" s="87"/>
      <c r="BH63" s="87"/>
      <c r="BI63" s="87"/>
      <c r="BJ63" s="87"/>
      <c r="BK63" s="87"/>
      <c r="BL63" s="87"/>
      <c r="BM63" s="87"/>
      <c r="BN63" s="87"/>
      <c r="BO63" s="87"/>
      <c r="BP63" s="87"/>
      <c r="BQ63" s="87"/>
      <c r="BR63" s="87"/>
      <c r="BS63" s="87"/>
      <c r="BT63" s="87"/>
      <c r="BU63" s="87"/>
      <c r="BV63" s="87"/>
      <c r="BW63" s="87"/>
      <c r="BX63" s="87"/>
      <c r="BY63" s="87"/>
      <c r="BZ63" s="87"/>
      <c r="CA63" s="87"/>
      <c r="CB63" s="87"/>
    </row>
    <row r="64" spans="1:80" x14ac:dyDescent="0.25">
      <c r="A64" s="87"/>
      <c r="B64" s="87"/>
      <c r="C64" s="87"/>
      <c r="D64" s="87"/>
      <c r="E64" s="87"/>
      <c r="F64" s="87"/>
      <c r="G64" s="87"/>
      <c r="H64" s="87"/>
      <c r="I64" s="87"/>
      <c r="J64" s="87"/>
      <c r="K64" s="87"/>
      <c r="L64" s="87"/>
      <c r="M64" s="87"/>
      <c r="N64" s="87"/>
      <c r="O64" s="87"/>
      <c r="P64" s="87"/>
      <c r="Q64" s="87"/>
      <c r="R64" s="87"/>
      <c r="S64" s="87"/>
      <c r="T64" s="87"/>
      <c r="U64" s="87"/>
      <c r="V64" s="87"/>
      <c r="W64" s="87"/>
      <c r="X64" s="87"/>
      <c r="Y64" s="87"/>
      <c r="Z64" s="87"/>
      <c r="AA64" s="87"/>
      <c r="AB64" s="87"/>
      <c r="AC64" s="87"/>
      <c r="AD64" s="87"/>
      <c r="AE64" s="87"/>
      <c r="AF64" s="87"/>
      <c r="AG64" s="87"/>
      <c r="AH64" s="87"/>
      <c r="AI64" s="87"/>
      <c r="AJ64" s="87"/>
      <c r="AK64" s="87"/>
      <c r="AL64" s="87"/>
      <c r="AM64" s="87"/>
      <c r="AN64" s="87"/>
      <c r="AO64" s="87"/>
      <c r="AP64" s="87"/>
      <c r="AQ64" s="87"/>
      <c r="AR64" s="87"/>
      <c r="AS64" s="87"/>
      <c r="AT64" s="87"/>
      <c r="AU64" s="87"/>
      <c r="AV64" s="87"/>
      <c r="AW64" s="87"/>
      <c r="AX64" s="87"/>
      <c r="AY64" s="87"/>
      <c r="AZ64" s="87"/>
      <c r="BA64" s="87"/>
      <c r="BB64" s="87"/>
      <c r="BC64" s="87"/>
      <c r="BD64" s="87"/>
      <c r="BE64" s="87"/>
      <c r="BF64" s="87"/>
      <c r="BG64" s="87"/>
      <c r="BH64" s="87"/>
      <c r="BI64" s="87"/>
      <c r="BJ64" s="87"/>
      <c r="BK64" s="87"/>
      <c r="BL64" s="87"/>
      <c r="BM64" s="87"/>
      <c r="BN64" s="87"/>
      <c r="BO64" s="87"/>
      <c r="BP64" s="87"/>
      <c r="BQ64" s="87"/>
      <c r="BR64" s="87"/>
      <c r="BS64" s="87"/>
      <c r="BT64" s="87"/>
      <c r="BU64" s="87"/>
      <c r="BV64" s="87"/>
      <c r="BW64" s="87"/>
      <c r="BX64" s="87"/>
      <c r="BY64" s="87"/>
      <c r="BZ64" s="87"/>
      <c r="CA64" s="87"/>
      <c r="CB64" s="87"/>
    </row>
    <row r="65" spans="1:80" x14ac:dyDescent="0.25">
      <c r="A65" s="87"/>
      <c r="B65" s="87"/>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c r="BC65" s="87"/>
      <c r="BD65" s="87"/>
      <c r="BE65" s="87"/>
      <c r="BF65" s="87"/>
      <c r="BG65" s="87"/>
      <c r="BH65" s="87"/>
      <c r="BI65" s="87"/>
      <c r="BJ65" s="87"/>
      <c r="BK65" s="87"/>
      <c r="BL65" s="87"/>
      <c r="BM65" s="87"/>
      <c r="BN65" s="87"/>
      <c r="BO65" s="87"/>
      <c r="BP65" s="87"/>
      <c r="BQ65" s="87"/>
      <c r="BR65" s="87"/>
      <c r="BS65" s="87"/>
      <c r="BT65" s="87"/>
      <c r="BU65" s="87"/>
      <c r="BV65" s="87"/>
      <c r="BW65" s="87"/>
      <c r="BX65" s="87"/>
      <c r="BY65" s="87"/>
      <c r="BZ65" s="87"/>
      <c r="CA65" s="87"/>
      <c r="CB65" s="87"/>
    </row>
    <row r="66" spans="1:80" x14ac:dyDescent="0.25">
      <c r="A66" s="87"/>
      <c r="B66" s="87"/>
      <c r="C66" s="87"/>
      <c r="D66" s="87"/>
      <c r="E66" s="87"/>
      <c r="F66" s="87"/>
      <c r="G66" s="87"/>
      <c r="H66" s="87"/>
      <c r="I66" s="87"/>
      <c r="J66" s="87"/>
      <c r="K66" s="87"/>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c r="BA66" s="87"/>
      <c r="BB66" s="87"/>
      <c r="BC66" s="87"/>
      <c r="BD66" s="87"/>
      <c r="BE66" s="87"/>
      <c r="BF66" s="87"/>
      <c r="BG66" s="87"/>
      <c r="BH66" s="87"/>
      <c r="BI66" s="87"/>
      <c r="BJ66" s="87"/>
      <c r="BK66" s="87"/>
      <c r="BL66" s="87"/>
      <c r="BM66" s="87"/>
      <c r="BN66" s="87"/>
      <c r="BO66" s="87"/>
      <c r="BP66" s="87"/>
      <c r="BQ66" s="87"/>
      <c r="BR66" s="87"/>
      <c r="BS66" s="87"/>
      <c r="BT66" s="87"/>
      <c r="BU66" s="87"/>
      <c r="BV66" s="87"/>
      <c r="BW66" s="87"/>
      <c r="BX66" s="87"/>
      <c r="BY66" s="87"/>
      <c r="BZ66" s="87"/>
      <c r="CA66" s="87"/>
      <c r="CB66" s="87"/>
    </row>
    <row r="67" spans="1:80" x14ac:dyDescent="0.25">
      <c r="A67" s="87"/>
      <c r="B67" s="87"/>
      <c r="C67" s="87"/>
      <c r="D67" s="87"/>
      <c r="E67" s="87"/>
      <c r="F67" s="87"/>
      <c r="G67" s="87"/>
      <c r="H67" s="87"/>
      <c r="I67" s="87"/>
      <c r="J67" s="87"/>
      <c r="K67" s="87"/>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c r="BA67" s="87"/>
      <c r="BB67" s="87"/>
      <c r="BC67" s="87"/>
      <c r="BD67" s="87"/>
      <c r="BE67" s="87"/>
      <c r="BF67" s="87"/>
      <c r="BG67" s="87"/>
      <c r="BH67" s="87"/>
      <c r="BI67" s="87"/>
      <c r="BJ67" s="87"/>
      <c r="BK67" s="87"/>
      <c r="BL67" s="87"/>
      <c r="BM67" s="87"/>
      <c r="BN67" s="87"/>
      <c r="BO67" s="87"/>
      <c r="BP67" s="87"/>
      <c r="BQ67" s="87"/>
      <c r="BR67" s="87"/>
      <c r="BS67" s="87"/>
      <c r="BT67" s="87"/>
      <c r="BU67" s="87"/>
      <c r="BV67" s="87"/>
      <c r="BW67" s="87"/>
      <c r="BX67" s="87"/>
      <c r="BY67" s="87"/>
      <c r="BZ67" s="87"/>
      <c r="CA67" s="87"/>
      <c r="CB67" s="87"/>
    </row>
    <row r="68" spans="1:80" x14ac:dyDescent="0.25">
      <c r="A68" s="87"/>
      <c r="B68" s="87"/>
      <c r="C68" s="87"/>
      <c r="D68" s="87"/>
      <c r="E68" s="87"/>
      <c r="F68" s="87"/>
      <c r="G68" s="87"/>
      <c r="H68" s="87"/>
      <c r="I68" s="87"/>
      <c r="J68" s="87"/>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c r="BA68" s="87"/>
      <c r="BB68" s="87"/>
      <c r="BC68" s="87"/>
      <c r="BD68" s="87"/>
      <c r="BE68" s="87"/>
      <c r="BF68" s="87"/>
      <c r="BG68" s="87"/>
      <c r="BH68" s="87"/>
      <c r="BI68" s="87"/>
      <c r="BJ68" s="87"/>
      <c r="BK68" s="87"/>
      <c r="BL68" s="87"/>
      <c r="BM68" s="87"/>
      <c r="BN68" s="87"/>
      <c r="BO68" s="87"/>
      <c r="BP68" s="87"/>
      <c r="BQ68" s="87"/>
      <c r="BR68" s="87"/>
      <c r="BS68" s="87"/>
      <c r="BT68" s="87"/>
      <c r="BU68" s="87"/>
      <c r="BV68" s="87"/>
      <c r="BW68" s="87"/>
      <c r="BX68" s="87"/>
      <c r="BY68" s="87"/>
      <c r="BZ68" s="87"/>
      <c r="CA68" s="87"/>
      <c r="CB68" s="87"/>
    </row>
    <row r="69" spans="1:80" x14ac:dyDescent="0.25">
      <c r="A69" s="87"/>
      <c r="B69" s="87"/>
      <c r="C69" s="87"/>
      <c r="D69" s="87"/>
      <c r="E69" s="87"/>
      <c r="F69" s="87"/>
      <c r="G69" s="87"/>
      <c r="H69" s="87"/>
      <c r="I69" s="87"/>
      <c r="J69" s="87"/>
      <c r="K69" s="87"/>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c r="BA69" s="87"/>
      <c r="BB69" s="87"/>
      <c r="BC69" s="87"/>
      <c r="BD69" s="87"/>
      <c r="BE69" s="87"/>
      <c r="BF69" s="87"/>
      <c r="BG69" s="87"/>
      <c r="BH69" s="87"/>
      <c r="BI69" s="87"/>
      <c r="BJ69" s="87"/>
      <c r="BK69" s="87"/>
      <c r="BL69" s="87"/>
      <c r="BM69" s="87"/>
      <c r="BN69" s="87"/>
      <c r="BO69" s="87"/>
      <c r="BP69" s="87"/>
      <c r="BQ69" s="87"/>
      <c r="BR69" s="87"/>
      <c r="BS69" s="87"/>
      <c r="BT69" s="87"/>
      <c r="BU69" s="87"/>
      <c r="BV69" s="87"/>
      <c r="BW69" s="87"/>
      <c r="BX69" s="87"/>
      <c r="BY69" s="87"/>
      <c r="BZ69" s="87"/>
      <c r="CA69" s="87"/>
      <c r="CB69" s="87"/>
    </row>
    <row r="70" spans="1:80" x14ac:dyDescent="0.25">
      <c r="A70" s="87"/>
      <c r="B70" s="87"/>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c r="BA70" s="87"/>
      <c r="BB70" s="87"/>
      <c r="BC70" s="87"/>
      <c r="BD70" s="87"/>
      <c r="BE70" s="87"/>
      <c r="BF70" s="87"/>
      <c r="BG70" s="87"/>
      <c r="BH70" s="87"/>
      <c r="BI70" s="87"/>
      <c r="BJ70" s="87"/>
      <c r="BK70" s="87"/>
      <c r="BL70" s="87"/>
      <c r="BM70" s="87"/>
      <c r="BN70" s="87"/>
      <c r="BO70" s="87"/>
      <c r="BP70" s="87"/>
      <c r="BQ70" s="87"/>
      <c r="BR70" s="87"/>
      <c r="BS70" s="87"/>
      <c r="BT70" s="87"/>
      <c r="BU70" s="87"/>
      <c r="BV70" s="87"/>
      <c r="BW70" s="87"/>
      <c r="BX70" s="87"/>
      <c r="BY70" s="87"/>
      <c r="BZ70" s="87"/>
      <c r="CA70" s="87"/>
      <c r="CB70" s="87"/>
    </row>
    <row r="71" spans="1:80" x14ac:dyDescent="0.25">
      <c r="A71" s="87"/>
      <c r="B71" s="87"/>
      <c r="C71" s="87"/>
      <c r="D71" s="87"/>
      <c r="E71" s="87"/>
      <c r="F71" s="87"/>
      <c r="G71" s="87"/>
      <c r="H71" s="87"/>
      <c r="I71" s="87"/>
      <c r="J71" s="87"/>
      <c r="K71" s="87"/>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c r="BA71" s="87"/>
      <c r="BB71" s="87"/>
      <c r="BC71" s="87"/>
      <c r="BD71" s="87"/>
      <c r="BE71" s="87"/>
      <c r="BF71" s="87"/>
      <c r="BG71" s="87"/>
      <c r="BH71" s="87"/>
      <c r="BI71" s="87"/>
      <c r="BJ71" s="87"/>
      <c r="BK71" s="87"/>
      <c r="BL71" s="87"/>
      <c r="BM71" s="87"/>
      <c r="BN71" s="87"/>
      <c r="BO71" s="87"/>
      <c r="BP71" s="87"/>
      <c r="BQ71" s="87"/>
      <c r="BR71" s="87"/>
      <c r="BS71" s="87"/>
      <c r="BT71" s="87"/>
      <c r="BU71" s="87"/>
      <c r="BV71" s="87"/>
      <c r="BW71" s="87"/>
      <c r="BX71" s="87"/>
      <c r="BY71" s="87"/>
      <c r="BZ71" s="87"/>
      <c r="CA71" s="87"/>
      <c r="CB71" s="87"/>
    </row>
    <row r="72" spans="1:80" x14ac:dyDescent="0.25">
      <c r="A72" s="87"/>
      <c r="B72" s="87"/>
      <c r="C72" s="87"/>
      <c r="D72" s="87"/>
      <c r="E72" s="87"/>
      <c r="F72" s="87"/>
      <c r="G72" s="87"/>
      <c r="H72" s="87"/>
      <c r="I72" s="87"/>
      <c r="J72" s="87"/>
      <c r="K72" s="87"/>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c r="BA72" s="87"/>
      <c r="BB72" s="87"/>
      <c r="BC72" s="87"/>
      <c r="BD72" s="87"/>
      <c r="BE72" s="87"/>
      <c r="BF72" s="87"/>
      <c r="BG72" s="87"/>
      <c r="BH72" s="87"/>
      <c r="BI72" s="87"/>
      <c r="BJ72" s="87"/>
      <c r="BK72" s="87"/>
      <c r="BL72" s="87"/>
      <c r="BM72" s="87"/>
      <c r="BN72" s="87"/>
      <c r="BO72" s="87"/>
      <c r="BP72" s="87"/>
      <c r="BQ72" s="87"/>
      <c r="BR72" s="87"/>
      <c r="BS72" s="87"/>
      <c r="BT72" s="87"/>
      <c r="BU72" s="87"/>
      <c r="BV72" s="87"/>
      <c r="BW72" s="87"/>
      <c r="BX72" s="87"/>
      <c r="BY72" s="87"/>
      <c r="BZ72" s="87"/>
      <c r="CA72" s="87"/>
      <c r="CB72" s="87"/>
    </row>
    <row r="73" spans="1:80" x14ac:dyDescent="0.25">
      <c r="A73" s="87"/>
      <c r="B73" s="87"/>
      <c r="C73" s="87"/>
      <c r="D73" s="87"/>
      <c r="E73" s="87"/>
      <c r="F73" s="87"/>
      <c r="G73" s="87"/>
      <c r="H73" s="87"/>
      <c r="I73" s="87"/>
      <c r="J73" s="87"/>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c r="BC73" s="87"/>
      <c r="BD73" s="87"/>
      <c r="BE73" s="87"/>
      <c r="BF73" s="87"/>
      <c r="BG73" s="87"/>
      <c r="BH73" s="87"/>
      <c r="BI73" s="87"/>
      <c r="BJ73" s="87"/>
      <c r="BK73" s="87"/>
      <c r="BL73" s="87"/>
      <c r="BM73" s="87"/>
      <c r="BN73" s="87"/>
      <c r="BO73" s="87"/>
      <c r="BP73" s="87"/>
      <c r="BQ73" s="87"/>
      <c r="BR73" s="87"/>
      <c r="BS73" s="87"/>
      <c r="BT73" s="87"/>
      <c r="BU73" s="87"/>
      <c r="BV73" s="87"/>
      <c r="BW73" s="87"/>
      <c r="BX73" s="87"/>
      <c r="BY73" s="87"/>
      <c r="BZ73" s="87"/>
      <c r="CA73" s="87"/>
      <c r="CB73" s="87"/>
    </row>
    <row r="74" spans="1:80" x14ac:dyDescent="0.25">
      <c r="A74" s="87"/>
      <c r="B74" s="87"/>
      <c r="C74" s="87"/>
      <c r="D74" s="87"/>
      <c r="E74" s="87"/>
      <c r="F74" s="87"/>
      <c r="G74" s="87"/>
      <c r="H74" s="87"/>
      <c r="I74" s="87"/>
      <c r="J74" s="87"/>
      <c r="K74" s="87"/>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c r="BA74" s="87"/>
      <c r="BB74" s="87"/>
      <c r="BC74" s="87"/>
      <c r="BD74" s="87"/>
      <c r="BE74" s="87"/>
      <c r="BF74" s="87"/>
      <c r="BG74" s="87"/>
      <c r="BH74" s="87"/>
      <c r="BI74" s="87"/>
      <c r="BJ74" s="87"/>
      <c r="BK74" s="87"/>
      <c r="BL74" s="87"/>
      <c r="BM74" s="87"/>
      <c r="BN74" s="87"/>
      <c r="BO74" s="87"/>
      <c r="BP74" s="87"/>
      <c r="BQ74" s="87"/>
      <c r="BR74" s="87"/>
      <c r="BS74" s="87"/>
      <c r="BT74" s="87"/>
      <c r="BU74" s="87"/>
      <c r="BV74" s="87"/>
      <c r="BW74" s="87"/>
      <c r="BX74" s="87"/>
      <c r="BY74" s="87"/>
      <c r="BZ74" s="87"/>
      <c r="CA74" s="87"/>
      <c r="CB74" s="87"/>
    </row>
    <row r="75" spans="1:80" x14ac:dyDescent="0.25">
      <c r="A75" s="87"/>
      <c r="B75" s="87"/>
      <c r="C75" s="87"/>
      <c r="D75" s="87"/>
      <c r="E75" s="87"/>
      <c r="F75" s="87"/>
      <c r="G75" s="87"/>
      <c r="H75" s="87"/>
      <c r="I75" s="87"/>
      <c r="J75" s="87"/>
      <c r="K75" s="87"/>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c r="BC75" s="87"/>
      <c r="BD75" s="87"/>
      <c r="BE75" s="87"/>
      <c r="BF75" s="87"/>
      <c r="BG75" s="87"/>
      <c r="BH75" s="87"/>
      <c r="BI75" s="87"/>
      <c r="BJ75" s="87"/>
      <c r="BK75" s="87"/>
      <c r="BL75" s="87"/>
      <c r="BM75" s="87"/>
      <c r="BN75" s="87"/>
      <c r="BO75" s="87"/>
      <c r="BP75" s="87"/>
      <c r="BQ75" s="87"/>
      <c r="BR75" s="87"/>
      <c r="BS75" s="87"/>
      <c r="BT75" s="87"/>
      <c r="BU75" s="87"/>
      <c r="BV75" s="87"/>
      <c r="BW75" s="87"/>
      <c r="BX75" s="87"/>
      <c r="BY75" s="87"/>
      <c r="BZ75" s="87"/>
      <c r="CA75" s="87"/>
      <c r="CB75" s="87"/>
    </row>
    <row r="76" spans="1:80" x14ac:dyDescent="0.25">
      <c r="A76" s="87"/>
      <c r="B76" s="87"/>
      <c r="C76" s="87"/>
      <c r="D76" s="87"/>
      <c r="E76" s="87"/>
      <c r="F76" s="87"/>
      <c r="G76" s="87"/>
      <c r="H76" s="87"/>
      <c r="I76" s="87"/>
      <c r="J76" s="87"/>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7"/>
      <c r="BG76" s="87"/>
      <c r="BH76" s="87"/>
      <c r="BI76" s="87"/>
      <c r="BJ76" s="87"/>
      <c r="BK76" s="87"/>
      <c r="BL76" s="87"/>
      <c r="BM76" s="87"/>
      <c r="BN76" s="87"/>
      <c r="BO76" s="87"/>
      <c r="BP76" s="87"/>
      <c r="BQ76" s="87"/>
      <c r="BR76" s="87"/>
      <c r="BS76" s="87"/>
      <c r="BT76" s="87"/>
      <c r="BU76" s="87"/>
      <c r="BV76" s="87"/>
      <c r="BW76" s="87"/>
      <c r="BX76" s="87"/>
      <c r="BY76" s="87"/>
      <c r="BZ76" s="87"/>
      <c r="CA76" s="87"/>
      <c r="CB76" s="87"/>
    </row>
    <row r="77" spans="1:80" x14ac:dyDescent="0.25">
      <c r="A77" s="87"/>
      <c r="B77" s="87"/>
      <c r="C77" s="87"/>
      <c r="D77" s="87"/>
      <c r="E77" s="87"/>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c r="BI77" s="87"/>
      <c r="BJ77" s="87"/>
      <c r="BK77" s="87"/>
      <c r="BL77" s="87"/>
      <c r="BM77" s="87"/>
      <c r="BN77" s="87"/>
      <c r="BO77" s="87"/>
      <c r="BP77" s="87"/>
      <c r="BQ77" s="87"/>
      <c r="BR77" s="87"/>
      <c r="BS77" s="87"/>
      <c r="BT77" s="87"/>
      <c r="BU77" s="87"/>
      <c r="BV77" s="87"/>
      <c r="BW77" s="87"/>
      <c r="BX77" s="87"/>
      <c r="BY77" s="87"/>
      <c r="BZ77" s="87"/>
      <c r="CA77" s="87"/>
      <c r="CB77" s="87"/>
    </row>
    <row r="78" spans="1:80" x14ac:dyDescent="0.25">
      <c r="A78" s="87"/>
      <c r="B78" s="87"/>
      <c r="C78" s="87"/>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c r="BI78" s="87"/>
      <c r="BJ78" s="87"/>
      <c r="BK78" s="87"/>
      <c r="BL78" s="87"/>
      <c r="BM78" s="87"/>
      <c r="BN78" s="87"/>
      <c r="BO78" s="87"/>
      <c r="BP78" s="87"/>
      <c r="BQ78" s="87"/>
      <c r="BR78" s="87"/>
      <c r="BS78" s="87"/>
      <c r="BT78" s="87"/>
      <c r="BU78" s="87"/>
      <c r="BV78" s="87"/>
      <c r="BW78" s="87"/>
      <c r="BX78" s="87"/>
      <c r="BY78" s="87"/>
      <c r="BZ78" s="87"/>
      <c r="CA78" s="87"/>
      <c r="CB78" s="87"/>
    </row>
    <row r="79" spans="1:80" x14ac:dyDescent="0.25">
      <c r="A79" s="87"/>
      <c r="B79" s="87"/>
      <c r="C79" s="87"/>
      <c r="D79" s="87"/>
      <c r="E79" s="87"/>
      <c r="F79" s="87"/>
      <c r="G79" s="87"/>
      <c r="H79" s="87"/>
      <c r="I79" s="87"/>
      <c r="J79" s="87"/>
      <c r="K79" s="87"/>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row>
    <row r="80" spans="1:80" x14ac:dyDescent="0.25">
      <c r="A80" s="87"/>
      <c r="B80" s="87"/>
      <c r="C80" s="87"/>
      <c r="D80" s="87"/>
      <c r="E80" s="87"/>
      <c r="F80" s="87"/>
      <c r="G80" s="87"/>
      <c r="H80" s="87"/>
      <c r="I80" s="87"/>
      <c r="J80" s="87"/>
      <c r="K80" s="87"/>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row>
    <row r="81" spans="1:63" x14ac:dyDescent="0.25">
      <c r="A81" s="87"/>
      <c r="B81" s="87"/>
      <c r="C81" s="87"/>
      <c r="D81" s="87"/>
      <c r="E81" s="87"/>
      <c r="F81" s="87"/>
      <c r="G81" s="87"/>
      <c r="H81" s="87"/>
      <c r="I81" s="87"/>
      <c r="J81" s="87"/>
      <c r="K81" s="87"/>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row>
    <row r="82" spans="1:63" x14ac:dyDescent="0.25">
      <c r="A82" s="87"/>
      <c r="B82" s="87"/>
      <c r="C82" s="87"/>
      <c r="D82" s="87"/>
      <c r="E82" s="87"/>
      <c r="F82" s="87"/>
      <c r="G82" s="87"/>
      <c r="H82" s="87"/>
      <c r="I82" s="87"/>
      <c r="J82" s="87"/>
      <c r="K82" s="87"/>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row>
    <row r="83" spans="1:63" x14ac:dyDescent="0.25">
      <c r="A83" s="87"/>
      <c r="B83" s="87"/>
      <c r="C83" s="87"/>
      <c r="D83" s="87"/>
      <c r="E83" s="87"/>
      <c r="F83" s="87"/>
      <c r="G83" s="87"/>
      <c r="H83" s="87"/>
      <c r="I83" s="87"/>
      <c r="J83" s="87"/>
      <c r="K83" s="87"/>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row>
    <row r="84" spans="1:63" x14ac:dyDescent="0.25">
      <c r="A84" s="87"/>
      <c r="B84" s="87"/>
      <c r="C84" s="87"/>
      <c r="D84" s="87"/>
      <c r="E84" s="87"/>
      <c r="F84" s="87"/>
      <c r="G84" s="87"/>
      <c r="H84" s="87"/>
      <c r="I84" s="87"/>
      <c r="J84" s="87"/>
      <c r="K84" s="87"/>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c r="BI84" s="87"/>
      <c r="BJ84" s="87"/>
      <c r="BK84" s="87"/>
    </row>
    <row r="85" spans="1:63" x14ac:dyDescent="0.25">
      <c r="A85" s="87"/>
      <c r="B85" s="87"/>
      <c r="C85" s="87"/>
      <c r="D85" s="87"/>
      <c r="E85" s="87"/>
      <c r="F85" s="87"/>
      <c r="G85" s="87"/>
      <c r="H85" s="87"/>
      <c r="I85" s="87"/>
      <c r="J85" s="87"/>
      <c r="K85" s="87"/>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c r="BI85" s="87"/>
      <c r="BJ85" s="87"/>
      <c r="BK85" s="87"/>
    </row>
    <row r="86" spans="1:63" x14ac:dyDescent="0.25">
      <c r="A86" s="87"/>
      <c r="B86" s="87"/>
      <c r="C86" s="87"/>
      <c r="D86" s="87"/>
      <c r="E86" s="87"/>
      <c r="F86" s="87"/>
      <c r="G86" s="87"/>
      <c r="H86" s="87"/>
      <c r="I86" s="87"/>
      <c r="J86" s="87"/>
      <c r="K86" s="87"/>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c r="BI86" s="87"/>
      <c r="BJ86" s="87"/>
      <c r="BK86" s="87"/>
    </row>
    <row r="87" spans="1:63" x14ac:dyDescent="0.25">
      <c r="A87" s="87"/>
      <c r="B87" s="87"/>
      <c r="C87" s="87"/>
      <c r="D87" s="87"/>
      <c r="E87" s="87"/>
      <c r="F87" s="87"/>
      <c r="G87" s="87"/>
      <c r="H87" s="87"/>
      <c r="I87" s="87"/>
      <c r="J87" s="87"/>
      <c r="K87" s="87"/>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c r="BI87" s="87"/>
      <c r="BJ87" s="87"/>
      <c r="BK87" s="87"/>
    </row>
    <row r="88" spans="1:63" x14ac:dyDescent="0.25">
      <c r="A88" s="87"/>
      <c r="B88" s="87"/>
      <c r="C88" s="87"/>
      <c r="D88" s="87"/>
      <c r="E88" s="87"/>
      <c r="F88" s="87"/>
      <c r="G88" s="87"/>
      <c r="H88" s="87"/>
      <c r="I88" s="87"/>
      <c r="J88" s="87"/>
      <c r="K88" s="87"/>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c r="BI88" s="87"/>
      <c r="BJ88" s="87"/>
      <c r="BK88" s="87"/>
    </row>
    <row r="89" spans="1:63" x14ac:dyDescent="0.25">
      <c r="A89" s="87"/>
      <c r="B89" s="87"/>
      <c r="C89" s="87"/>
      <c r="D89" s="87"/>
      <c r="E89" s="87"/>
      <c r="F89" s="87"/>
      <c r="G89" s="87"/>
      <c r="H89" s="87"/>
      <c r="I89" s="87"/>
      <c r="J89" s="87"/>
      <c r="K89" s="87"/>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c r="BI89" s="87"/>
      <c r="BJ89" s="87"/>
      <c r="BK89" s="87"/>
    </row>
    <row r="90" spans="1:63" x14ac:dyDescent="0.25">
      <c r="A90" s="87"/>
      <c r="B90" s="87"/>
      <c r="C90" s="87"/>
      <c r="D90" s="87"/>
      <c r="E90" s="87"/>
      <c r="F90" s="87"/>
      <c r="G90" s="87"/>
      <c r="H90" s="87"/>
      <c r="I90" s="87"/>
      <c r="J90" s="87"/>
      <c r="K90" s="87"/>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c r="BI90" s="87"/>
      <c r="BJ90" s="87"/>
      <c r="BK90" s="87"/>
    </row>
    <row r="91" spans="1:63" x14ac:dyDescent="0.25">
      <c r="A91" s="87"/>
      <c r="B91" s="87"/>
      <c r="C91" s="87"/>
      <c r="D91" s="87"/>
      <c r="E91" s="87"/>
      <c r="F91" s="87"/>
      <c r="G91" s="87"/>
      <c r="H91" s="87"/>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c r="BI91" s="87"/>
      <c r="BJ91" s="87"/>
      <c r="BK91" s="87"/>
    </row>
    <row r="92" spans="1:63" x14ac:dyDescent="0.25">
      <c r="A92" s="87"/>
      <c r="B92" s="87"/>
      <c r="C92" s="87"/>
      <c r="D92" s="87"/>
      <c r="E92" s="87"/>
      <c r="F92" s="87"/>
      <c r="G92" s="87"/>
      <c r="H92" s="87"/>
      <c r="I92" s="87"/>
      <c r="J92" s="87"/>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c r="BI92" s="87"/>
      <c r="BJ92" s="87"/>
      <c r="BK92" s="87"/>
    </row>
    <row r="93" spans="1:63" x14ac:dyDescent="0.25">
      <c r="A93" s="87"/>
      <c r="B93" s="87"/>
      <c r="C93" s="87"/>
      <c r="D93" s="87"/>
      <c r="E93" s="87"/>
      <c r="F93" s="87"/>
      <c r="G93" s="87"/>
      <c r="H93" s="87"/>
      <c r="I93" s="87"/>
      <c r="J93" s="87"/>
      <c r="K93" s="87"/>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c r="BI93" s="87"/>
      <c r="BJ93" s="87"/>
      <c r="BK93" s="87"/>
    </row>
    <row r="94" spans="1:63" x14ac:dyDescent="0.25">
      <c r="A94" s="87"/>
      <c r="B94" s="87"/>
      <c r="C94" s="87"/>
      <c r="D94" s="87"/>
      <c r="E94" s="87"/>
      <c r="F94" s="87"/>
      <c r="G94" s="87"/>
      <c r="H94" s="87"/>
      <c r="I94" s="87"/>
      <c r="J94" s="87"/>
      <c r="K94" s="87"/>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c r="BI94" s="87"/>
      <c r="BJ94" s="87"/>
      <c r="BK94" s="87"/>
    </row>
    <row r="95" spans="1:63" x14ac:dyDescent="0.25">
      <c r="A95" s="87"/>
      <c r="B95" s="87"/>
      <c r="C95" s="87"/>
      <c r="D95" s="87"/>
      <c r="E95" s="87"/>
      <c r="F95" s="87"/>
      <c r="G95" s="87"/>
      <c r="H95" s="87"/>
      <c r="I95" s="87"/>
      <c r="J95" s="87"/>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row>
    <row r="96" spans="1:63" x14ac:dyDescent="0.25">
      <c r="A96" s="87"/>
      <c r="B96" s="87"/>
      <c r="C96" s="87"/>
      <c r="D96" s="87"/>
      <c r="E96" s="87"/>
      <c r="F96" s="87"/>
      <c r="G96" s="87"/>
      <c r="H96" s="87"/>
      <c r="I96" s="87"/>
      <c r="J96" s="87"/>
      <c r="K96" s="87"/>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row>
    <row r="97" spans="1:63" x14ac:dyDescent="0.25">
      <c r="A97" s="87"/>
      <c r="B97" s="87"/>
      <c r="C97" s="87"/>
      <c r="D97" s="87"/>
      <c r="E97" s="87"/>
      <c r="F97" s="87"/>
      <c r="G97" s="87"/>
      <c r="H97" s="87"/>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row>
    <row r="98" spans="1:63" x14ac:dyDescent="0.25">
      <c r="A98" s="87"/>
      <c r="B98" s="87"/>
      <c r="C98" s="87"/>
      <c r="D98" s="87"/>
      <c r="E98" s="87"/>
      <c r="F98" s="87"/>
      <c r="G98" s="87"/>
      <c r="H98" s="87"/>
      <c r="I98" s="87"/>
      <c r="J98" s="87"/>
      <c r="K98" s="87"/>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row>
    <row r="99" spans="1:63" x14ac:dyDescent="0.25">
      <c r="A99" s="87"/>
      <c r="B99" s="87"/>
      <c r="C99" s="87"/>
      <c r="D99" s="87"/>
      <c r="E99" s="87"/>
      <c r="F99" s="87"/>
      <c r="G99" s="87"/>
      <c r="H99" s="87"/>
      <c r="I99" s="87"/>
      <c r="J99" s="87"/>
      <c r="K99" s="87"/>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row>
    <row r="100" spans="1:63" x14ac:dyDescent="0.25">
      <c r="A100" s="87"/>
      <c r="B100" s="87"/>
      <c r="C100" s="87"/>
      <c r="D100" s="87"/>
      <c r="E100" s="87"/>
      <c r="F100" s="87"/>
      <c r="G100" s="87"/>
      <c r="H100" s="87"/>
      <c r="I100" s="87"/>
      <c r="J100" s="87"/>
      <c r="K100" s="8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row>
    <row r="101" spans="1:63" x14ac:dyDescent="0.25">
      <c r="A101" s="87"/>
      <c r="B101" s="87"/>
      <c r="C101" s="87"/>
      <c r="D101" s="87"/>
      <c r="E101" s="87"/>
      <c r="F101" s="87"/>
      <c r="G101" s="87"/>
      <c r="H101" s="87"/>
      <c r="I101" s="87"/>
      <c r="J101" s="87"/>
      <c r="K101" s="8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row>
    <row r="102" spans="1:63" x14ac:dyDescent="0.25">
      <c r="A102" s="87"/>
      <c r="B102" s="87"/>
      <c r="C102" s="87"/>
      <c r="D102" s="87"/>
      <c r="E102" s="87"/>
      <c r="F102" s="87"/>
      <c r="G102" s="87"/>
      <c r="H102" s="87"/>
      <c r="I102" s="87"/>
      <c r="J102" s="87"/>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c r="BC102" s="87"/>
      <c r="BD102" s="87"/>
      <c r="BE102" s="87"/>
      <c r="BF102" s="87"/>
      <c r="BG102" s="87"/>
      <c r="BH102" s="87"/>
      <c r="BI102" s="87"/>
      <c r="BJ102" s="87"/>
      <c r="BK102" s="87"/>
    </row>
    <row r="103" spans="1:63" x14ac:dyDescent="0.25">
      <c r="A103" s="87"/>
      <c r="B103" s="87"/>
      <c r="C103" s="87"/>
      <c r="D103" s="87"/>
      <c r="E103" s="87"/>
      <c r="F103" s="87"/>
      <c r="G103" s="87"/>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row>
    <row r="104" spans="1:63" x14ac:dyDescent="0.25">
      <c r="A104" s="87"/>
      <c r="B104" s="87"/>
      <c r="C104" s="87"/>
      <c r="D104" s="87"/>
      <c r="E104" s="87"/>
      <c r="F104" s="87"/>
      <c r="G104" s="87"/>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row>
    <row r="105" spans="1:63" x14ac:dyDescent="0.25">
      <c r="A105" s="87"/>
      <c r="B105" s="87"/>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row>
    <row r="106" spans="1:63" x14ac:dyDescent="0.25">
      <c r="A106" s="87"/>
      <c r="B106" s="87"/>
      <c r="C106" s="87"/>
      <c r="D106" s="87"/>
      <c r="E106" s="87"/>
      <c r="F106" s="87"/>
      <c r="G106" s="87"/>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row>
    <row r="107" spans="1:63" x14ac:dyDescent="0.25">
      <c r="A107" s="87"/>
      <c r="B107" s="87"/>
      <c r="C107" s="87"/>
      <c r="D107" s="87"/>
      <c r="E107" s="87"/>
      <c r="F107" s="87"/>
      <c r="G107" s="87"/>
      <c r="H107" s="87"/>
      <c r="I107" s="87"/>
      <c r="J107" s="87"/>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row>
    <row r="108" spans="1:63" x14ac:dyDescent="0.25">
      <c r="A108" s="87"/>
      <c r="B108" s="87"/>
      <c r="C108" s="87"/>
      <c r="D108" s="87"/>
      <c r="E108" s="87"/>
      <c r="F108" s="87"/>
      <c r="G108" s="87"/>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row>
    <row r="109" spans="1:63" x14ac:dyDescent="0.25">
      <c r="A109" s="87"/>
      <c r="B109" s="87"/>
      <c r="C109" s="87"/>
      <c r="D109" s="87"/>
      <c r="E109" s="87"/>
      <c r="F109" s="87"/>
      <c r="G109" s="87"/>
      <c r="H109" s="87"/>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row>
    <row r="110" spans="1:63" x14ac:dyDescent="0.25">
      <c r="A110" s="87"/>
      <c r="B110" s="87"/>
      <c r="C110" s="87"/>
      <c r="D110" s="87"/>
      <c r="E110" s="87"/>
      <c r="F110" s="87"/>
      <c r="G110" s="87"/>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row>
    <row r="111" spans="1:63" x14ac:dyDescent="0.25">
      <c r="A111" s="87"/>
      <c r="B111" s="87"/>
      <c r="C111" s="87"/>
      <c r="D111" s="87"/>
      <c r="E111" s="87"/>
      <c r="F111" s="87"/>
      <c r="G111" s="87"/>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row>
    <row r="112" spans="1:63" x14ac:dyDescent="0.25">
      <c r="A112" s="87"/>
      <c r="B112" s="87"/>
      <c r="C112" s="87"/>
      <c r="D112" s="87"/>
      <c r="E112" s="87"/>
      <c r="F112" s="87"/>
      <c r="G112" s="87"/>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row>
    <row r="113" spans="1:63" x14ac:dyDescent="0.25">
      <c r="A113" s="87"/>
      <c r="B113" s="87"/>
      <c r="C113" s="87"/>
      <c r="D113" s="87"/>
      <c r="E113" s="87"/>
      <c r="F113" s="87"/>
      <c r="G113" s="87"/>
      <c r="H113" s="87"/>
      <c r="I113" s="87"/>
      <c r="J113" s="87"/>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row>
    <row r="114" spans="1:63" x14ac:dyDescent="0.25">
      <c r="A114" s="87"/>
      <c r="B114" s="87"/>
      <c r="C114" s="87"/>
      <c r="D114" s="87"/>
      <c r="E114" s="87"/>
      <c r="F114" s="87"/>
      <c r="G114" s="87"/>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row>
    <row r="115" spans="1:63" x14ac:dyDescent="0.25">
      <c r="A115" s="87"/>
      <c r="B115" s="87"/>
      <c r="C115" s="87"/>
      <c r="D115" s="87"/>
      <c r="E115" s="87"/>
      <c r="F115" s="87"/>
      <c r="G115" s="87"/>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row>
    <row r="116" spans="1:63" x14ac:dyDescent="0.25">
      <c r="A116" s="87"/>
      <c r="B116" s="87"/>
      <c r="C116" s="87"/>
      <c r="D116" s="87"/>
      <c r="E116" s="87"/>
      <c r="F116" s="87"/>
      <c r="G116" s="87"/>
      <c r="H116" s="87"/>
      <c r="I116" s="87"/>
      <c r="J116" s="87"/>
      <c r="K116" s="87"/>
      <c r="L116" s="87"/>
      <c r="M116" s="87"/>
      <c r="N116" s="87"/>
      <c r="O116" s="87"/>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row>
    <row r="117" spans="1:63" x14ac:dyDescent="0.25">
      <c r="A117" s="87"/>
      <c r="B117" s="87"/>
      <c r="C117" s="87"/>
      <c r="D117" s="87"/>
      <c r="E117" s="87"/>
      <c r="F117" s="87"/>
      <c r="G117" s="87"/>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row>
    <row r="118" spans="1:63" x14ac:dyDescent="0.25">
      <c r="A118" s="87"/>
      <c r="B118" s="87"/>
      <c r="C118" s="87"/>
      <c r="D118" s="87"/>
      <c r="E118" s="87"/>
      <c r="F118" s="87"/>
      <c r="G118" s="87"/>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row>
    <row r="119" spans="1:63" x14ac:dyDescent="0.25">
      <c r="A119" s="87"/>
      <c r="B119" s="87"/>
      <c r="C119" s="87"/>
      <c r="D119" s="87"/>
      <c r="E119" s="87"/>
      <c r="F119" s="87"/>
      <c r="G119" s="87"/>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row>
    <row r="120" spans="1:63" x14ac:dyDescent="0.25">
      <c r="A120" s="87"/>
      <c r="B120" s="87"/>
      <c r="C120" s="87"/>
      <c r="D120" s="87"/>
      <c r="E120" s="87"/>
      <c r="F120" s="87"/>
      <c r="G120" s="87"/>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row>
    <row r="121" spans="1:63" x14ac:dyDescent="0.25">
      <c r="A121" s="87"/>
      <c r="B121" s="87"/>
      <c r="C121" s="87"/>
      <c r="D121" s="87"/>
      <c r="E121" s="87"/>
      <c r="F121" s="87"/>
      <c r="G121" s="87"/>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row>
    <row r="122" spans="1:63" x14ac:dyDescent="0.25">
      <c r="B122" s="87"/>
      <c r="C122" s="87"/>
      <c r="D122" s="87"/>
      <c r="E122" s="87"/>
      <c r="F122" s="87"/>
      <c r="G122" s="87"/>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row>
    <row r="123" spans="1:63" x14ac:dyDescent="0.25">
      <c r="B123" s="87"/>
      <c r="C123" s="87"/>
      <c r="D123" s="87"/>
      <c r="E123" s="87"/>
      <c r="F123" s="87"/>
      <c r="G123" s="87"/>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row>
    <row r="124" spans="1:63" x14ac:dyDescent="0.25">
      <c r="B124" s="87"/>
      <c r="C124" s="87"/>
      <c r="D124" s="87"/>
      <c r="E124" s="87"/>
      <c r="F124" s="87"/>
      <c r="G124" s="87"/>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row>
    <row r="125" spans="1:63" x14ac:dyDescent="0.25">
      <c r="B125" s="87"/>
      <c r="C125" s="87"/>
      <c r="D125" s="87"/>
      <c r="E125" s="87"/>
      <c r="F125" s="87"/>
      <c r="G125" s="87"/>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row>
    <row r="126" spans="1:63" x14ac:dyDescent="0.25">
      <c r="B126" s="87"/>
      <c r="C126" s="87"/>
      <c r="D126" s="87"/>
      <c r="E126" s="87"/>
      <c r="F126" s="87"/>
      <c r="G126" s="87"/>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row>
    <row r="127" spans="1:63" x14ac:dyDescent="0.25">
      <c r="B127" s="87"/>
      <c r="C127" s="87"/>
      <c r="D127" s="87"/>
      <c r="E127" s="87"/>
      <c r="F127" s="87"/>
      <c r="G127" s="87"/>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row>
    <row r="128" spans="1:63" x14ac:dyDescent="0.25">
      <c r="B128" s="87"/>
      <c r="C128" s="87"/>
      <c r="D128" s="87"/>
      <c r="E128" s="87"/>
      <c r="F128" s="87"/>
      <c r="G128" s="87"/>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row>
    <row r="129" spans="2:63" x14ac:dyDescent="0.25">
      <c r="B129" s="87"/>
      <c r="C129" s="87"/>
      <c r="D129" s="87"/>
      <c r="E129" s="87"/>
      <c r="F129" s="87"/>
      <c r="G129" s="87"/>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row>
    <row r="130" spans="2:63" x14ac:dyDescent="0.25">
      <c r="B130" s="87"/>
      <c r="C130" s="87"/>
      <c r="D130" s="87"/>
      <c r="E130" s="87"/>
      <c r="F130" s="87"/>
      <c r="G130" s="87"/>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row>
    <row r="131" spans="2:63" x14ac:dyDescent="0.25">
      <c r="B131" s="87"/>
      <c r="C131" s="87"/>
      <c r="D131" s="87"/>
      <c r="E131" s="87"/>
      <c r="F131" s="87"/>
      <c r="G131" s="87"/>
      <c r="H131" s="87"/>
      <c r="I131" s="87"/>
      <c r="J131" s="87"/>
      <c r="K131" s="87"/>
      <c r="L131" s="87"/>
      <c r="M131" s="87"/>
      <c r="N131" s="87"/>
      <c r="O131" s="87"/>
      <c r="P131" s="87"/>
      <c r="Q131" s="87"/>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row>
    <row r="132" spans="2:63" x14ac:dyDescent="0.25">
      <c r="B132" s="87"/>
      <c r="C132" s="87"/>
      <c r="D132" s="87"/>
      <c r="E132" s="87"/>
      <c r="F132" s="87"/>
      <c r="G132" s="87"/>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row>
    <row r="133" spans="2:63" x14ac:dyDescent="0.25">
      <c r="B133" s="87"/>
      <c r="C133" s="87"/>
      <c r="D133" s="87"/>
      <c r="E133" s="87"/>
      <c r="F133" s="87"/>
      <c r="G133" s="87"/>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row>
    <row r="134" spans="2:63" x14ac:dyDescent="0.25">
      <c r="B134" s="87"/>
      <c r="C134" s="87"/>
      <c r="D134" s="87"/>
      <c r="E134" s="87"/>
      <c r="F134" s="87"/>
      <c r="G134" s="87"/>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row>
    <row r="135" spans="2:63" x14ac:dyDescent="0.25">
      <c r="B135" s="87"/>
      <c r="C135" s="87"/>
      <c r="D135" s="87"/>
      <c r="E135" s="87"/>
      <c r="F135" s="87"/>
      <c r="G135" s="87"/>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row>
    <row r="136" spans="2:63" x14ac:dyDescent="0.25">
      <c r="B136" s="87"/>
      <c r="C136" s="87"/>
      <c r="D136" s="87"/>
      <c r="E136" s="87"/>
      <c r="F136" s="87"/>
      <c r="G136" s="87"/>
      <c r="H136" s="87"/>
      <c r="I136" s="87"/>
      <c r="J136" s="87"/>
      <c r="K136" s="87"/>
      <c r="L136" s="87"/>
      <c r="M136" s="87"/>
      <c r="N136" s="87"/>
      <c r="O136" s="87"/>
      <c r="P136" s="87"/>
      <c r="Q136" s="87"/>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row>
    <row r="137" spans="2:63" x14ac:dyDescent="0.25">
      <c r="B137" s="87"/>
      <c r="C137" s="87"/>
      <c r="D137" s="87"/>
      <c r="E137" s="87"/>
      <c r="F137" s="87"/>
      <c r="G137" s="87"/>
      <c r="H137" s="87"/>
      <c r="I137" s="87"/>
    </row>
    <row r="138" spans="2:63" x14ac:dyDescent="0.25">
      <c r="B138" s="87"/>
      <c r="C138" s="87"/>
      <c r="D138" s="87"/>
      <c r="E138" s="87"/>
      <c r="F138" s="87"/>
      <c r="G138" s="87"/>
      <c r="H138" s="87"/>
      <c r="I138" s="87"/>
    </row>
    <row r="139" spans="2:63" x14ac:dyDescent="0.25">
      <c r="B139" s="87"/>
      <c r="C139" s="87"/>
      <c r="D139" s="87"/>
      <c r="E139" s="87"/>
      <c r="F139" s="87"/>
      <c r="G139" s="87"/>
      <c r="H139" s="87"/>
      <c r="I139" s="87"/>
    </row>
    <row r="140" spans="2:63" x14ac:dyDescent="0.25">
      <c r="B140" s="87"/>
      <c r="C140" s="87"/>
      <c r="D140" s="87"/>
      <c r="E140" s="87"/>
      <c r="F140" s="87"/>
      <c r="G140" s="87"/>
      <c r="H140" s="87"/>
      <c r="I140" s="87"/>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M248"/>
  <sheetViews>
    <sheetView topLeftCell="A6" zoomScale="40" zoomScaleNormal="40" workbookViewId="0">
      <selection activeCell="AV54" sqref="AV54"/>
    </sheetView>
  </sheetViews>
  <sheetFormatPr baseColWidth="10" defaultColWidth="11.42578125" defaultRowHeight="15" x14ac:dyDescent="0.25"/>
  <cols>
    <col min="2" max="18" width="5.7109375" customWidth="1"/>
    <col min="19" max="19" width="8.42578125" customWidth="1"/>
    <col min="20" max="23" width="5.7109375" customWidth="1"/>
    <col min="24" max="24" width="8.42578125" customWidth="1"/>
    <col min="25" max="26" width="5.7109375" customWidth="1"/>
    <col min="27" max="27" width="10.7109375" customWidth="1"/>
    <col min="28" max="28" width="5.7109375" customWidth="1"/>
    <col min="29" max="29" width="7.42578125" customWidth="1"/>
    <col min="30" max="33" width="5.7109375" customWidth="1"/>
    <col min="34" max="34" width="8.42578125" customWidth="1"/>
    <col min="35" max="39" width="5.7109375" customWidth="1"/>
    <col min="41" max="46" width="5.7109375" customWidth="1"/>
  </cols>
  <sheetData>
    <row r="1" spans="1:91" x14ac:dyDescent="0.25">
      <c r="A1" s="87"/>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c r="BM1" s="87"/>
      <c r="BN1" s="87"/>
      <c r="BO1" s="87"/>
      <c r="BP1" s="87"/>
      <c r="BQ1" s="87"/>
      <c r="BR1" s="87"/>
      <c r="BS1" s="87"/>
      <c r="BT1" s="87"/>
      <c r="BU1" s="87"/>
      <c r="BV1" s="87"/>
      <c r="BW1" s="87"/>
      <c r="BX1" s="87"/>
      <c r="BY1" s="87"/>
      <c r="BZ1" s="87"/>
      <c r="CA1" s="87"/>
      <c r="CB1" s="87"/>
      <c r="CC1" s="87"/>
      <c r="CD1" s="87"/>
      <c r="CE1" s="87"/>
      <c r="CF1" s="87"/>
      <c r="CG1" s="87"/>
      <c r="CH1" s="87"/>
      <c r="CI1" s="87"/>
      <c r="CJ1" s="87"/>
      <c r="CK1" s="87"/>
      <c r="CL1" s="87"/>
      <c r="CM1" s="87"/>
    </row>
    <row r="2" spans="1:91" ht="18" customHeight="1" x14ac:dyDescent="0.25">
      <c r="A2" s="87"/>
      <c r="B2" s="806" t="s">
        <v>473</v>
      </c>
      <c r="C2" s="807"/>
      <c r="D2" s="807"/>
      <c r="E2" s="807"/>
      <c r="F2" s="807"/>
      <c r="G2" s="807"/>
      <c r="H2" s="807"/>
      <c r="I2" s="807"/>
      <c r="J2" s="748" t="s">
        <v>49</v>
      </c>
      <c r="K2" s="748"/>
      <c r="L2" s="748"/>
      <c r="M2" s="748"/>
      <c r="N2" s="748"/>
      <c r="O2" s="748"/>
      <c r="P2" s="748"/>
      <c r="Q2" s="748"/>
      <c r="R2" s="748"/>
      <c r="S2" s="748"/>
      <c r="T2" s="748"/>
      <c r="U2" s="748"/>
      <c r="V2" s="748"/>
      <c r="W2" s="748"/>
      <c r="X2" s="748"/>
      <c r="Y2" s="748"/>
      <c r="Z2" s="748"/>
      <c r="AA2" s="748"/>
      <c r="AB2" s="748"/>
      <c r="AC2" s="748"/>
      <c r="AD2" s="748"/>
      <c r="AE2" s="748"/>
      <c r="AF2" s="748"/>
      <c r="AG2" s="748"/>
      <c r="AH2" s="748"/>
      <c r="AI2" s="748"/>
      <c r="AJ2" s="748"/>
      <c r="AK2" s="748"/>
      <c r="AL2" s="748"/>
      <c r="AM2" s="748"/>
      <c r="AN2" s="87"/>
      <c r="AO2" s="87"/>
      <c r="AP2" s="87"/>
      <c r="AQ2" s="87"/>
      <c r="AR2" s="87"/>
      <c r="AS2" s="87"/>
      <c r="AT2" s="87"/>
      <c r="AU2" s="87"/>
      <c r="AV2" s="87"/>
      <c r="AW2" s="87"/>
      <c r="AX2" s="87"/>
      <c r="AY2" s="87"/>
      <c r="AZ2" s="87"/>
      <c r="BA2" s="87"/>
      <c r="BB2" s="87"/>
      <c r="BC2" s="87"/>
      <c r="BD2" s="87"/>
      <c r="BE2" s="87"/>
      <c r="BF2" s="87"/>
      <c r="BG2" s="87"/>
      <c r="BH2" s="87"/>
      <c r="BI2" s="87"/>
      <c r="BJ2" s="87"/>
      <c r="BK2" s="87"/>
      <c r="BL2" s="87"/>
      <c r="BM2" s="87"/>
      <c r="BN2" s="87"/>
      <c r="BO2" s="87"/>
      <c r="BP2" s="87"/>
      <c r="BQ2" s="87"/>
      <c r="BR2" s="87"/>
      <c r="BS2" s="87"/>
      <c r="BT2" s="87"/>
      <c r="BU2" s="87"/>
      <c r="BV2" s="87"/>
      <c r="BW2" s="87"/>
      <c r="BX2" s="87"/>
      <c r="BY2" s="87"/>
      <c r="BZ2" s="87"/>
      <c r="CA2" s="87"/>
      <c r="CB2" s="87"/>
      <c r="CC2" s="87"/>
      <c r="CD2" s="87"/>
      <c r="CE2" s="87"/>
      <c r="CF2" s="87"/>
      <c r="CG2" s="87"/>
      <c r="CH2" s="87"/>
      <c r="CI2" s="87"/>
      <c r="CJ2" s="87"/>
      <c r="CK2" s="87"/>
      <c r="CL2" s="87"/>
      <c r="CM2" s="87"/>
    </row>
    <row r="3" spans="1:91" ht="18.75" customHeight="1" x14ac:dyDescent="0.25">
      <c r="A3" s="87"/>
      <c r="B3" s="807"/>
      <c r="C3" s="807"/>
      <c r="D3" s="807"/>
      <c r="E3" s="807"/>
      <c r="F3" s="807"/>
      <c r="G3" s="807"/>
      <c r="H3" s="807"/>
      <c r="I3" s="807"/>
      <c r="J3" s="748"/>
      <c r="K3" s="748"/>
      <c r="L3" s="748"/>
      <c r="M3" s="748"/>
      <c r="N3" s="748"/>
      <c r="O3" s="748"/>
      <c r="P3" s="748"/>
      <c r="Q3" s="748"/>
      <c r="R3" s="748"/>
      <c r="S3" s="748"/>
      <c r="T3" s="748"/>
      <c r="U3" s="748"/>
      <c r="V3" s="748"/>
      <c r="W3" s="748"/>
      <c r="X3" s="748"/>
      <c r="Y3" s="748"/>
      <c r="Z3" s="748"/>
      <c r="AA3" s="748"/>
      <c r="AB3" s="748"/>
      <c r="AC3" s="748"/>
      <c r="AD3" s="748"/>
      <c r="AE3" s="748"/>
      <c r="AF3" s="748"/>
      <c r="AG3" s="748"/>
      <c r="AH3" s="748"/>
      <c r="AI3" s="748"/>
      <c r="AJ3" s="748"/>
      <c r="AK3" s="748"/>
      <c r="AL3" s="748"/>
      <c r="AM3" s="748"/>
      <c r="AN3" s="87"/>
      <c r="AO3" s="87"/>
      <c r="AP3" s="87"/>
      <c r="AQ3" s="87"/>
      <c r="AR3" s="87"/>
      <c r="AS3" s="87"/>
      <c r="AT3" s="87"/>
      <c r="AU3" s="87"/>
      <c r="AV3" s="87"/>
      <c r="AW3" s="87"/>
      <c r="AX3" s="87"/>
      <c r="AY3" s="87"/>
      <c r="AZ3" s="87"/>
      <c r="BA3" s="87"/>
      <c r="BB3" s="87"/>
      <c r="BC3" s="87"/>
      <c r="BD3" s="87"/>
      <c r="BE3" s="87"/>
      <c r="BF3" s="87"/>
      <c r="BG3" s="87"/>
      <c r="BH3" s="87"/>
      <c r="BI3" s="87"/>
      <c r="BJ3" s="87"/>
      <c r="BK3" s="87"/>
      <c r="BL3" s="87"/>
      <c r="BM3" s="87"/>
      <c r="BN3" s="87"/>
      <c r="BO3" s="87"/>
      <c r="BP3" s="87"/>
      <c r="BQ3" s="87"/>
      <c r="BR3" s="87"/>
      <c r="BS3" s="87"/>
      <c r="BT3" s="87"/>
      <c r="BU3" s="87"/>
      <c r="BV3" s="87"/>
      <c r="BW3" s="87"/>
      <c r="BX3" s="87"/>
      <c r="BY3" s="87"/>
      <c r="BZ3" s="87"/>
      <c r="CA3" s="87"/>
      <c r="CB3" s="87"/>
      <c r="CC3" s="87"/>
      <c r="CD3" s="87"/>
      <c r="CE3" s="87"/>
      <c r="CF3" s="87"/>
      <c r="CG3" s="87"/>
      <c r="CH3" s="87"/>
      <c r="CI3" s="87"/>
      <c r="CJ3" s="87"/>
      <c r="CK3" s="87"/>
      <c r="CL3" s="87"/>
      <c r="CM3" s="87"/>
    </row>
    <row r="4" spans="1:91" ht="15" customHeight="1" x14ac:dyDescent="0.25">
      <c r="A4" s="87"/>
      <c r="B4" s="807"/>
      <c r="C4" s="807"/>
      <c r="D4" s="807"/>
      <c r="E4" s="807"/>
      <c r="F4" s="807"/>
      <c r="G4" s="807"/>
      <c r="H4" s="807"/>
      <c r="I4" s="807"/>
      <c r="J4" s="748"/>
      <c r="K4" s="748"/>
      <c r="L4" s="748"/>
      <c r="M4" s="748"/>
      <c r="N4" s="748"/>
      <c r="O4" s="748"/>
      <c r="P4" s="748"/>
      <c r="Q4" s="748"/>
      <c r="R4" s="748"/>
      <c r="S4" s="748"/>
      <c r="T4" s="748"/>
      <c r="U4" s="748"/>
      <c r="V4" s="748"/>
      <c r="W4" s="748"/>
      <c r="X4" s="748"/>
      <c r="Y4" s="748"/>
      <c r="Z4" s="748"/>
      <c r="AA4" s="748"/>
      <c r="AB4" s="748"/>
      <c r="AC4" s="748"/>
      <c r="AD4" s="748"/>
      <c r="AE4" s="748"/>
      <c r="AF4" s="748"/>
      <c r="AG4" s="748"/>
      <c r="AH4" s="748"/>
      <c r="AI4" s="748"/>
      <c r="AJ4" s="748"/>
      <c r="AK4" s="748"/>
      <c r="AL4" s="748"/>
      <c r="AM4" s="748"/>
      <c r="AN4" s="87"/>
      <c r="AO4" s="87"/>
      <c r="AP4" s="87"/>
      <c r="AQ4" s="87"/>
      <c r="AR4" s="87"/>
      <c r="AS4" s="87"/>
      <c r="AT4" s="87"/>
      <c r="AU4" s="87"/>
      <c r="AV4" s="87"/>
      <c r="AW4" s="87"/>
      <c r="AX4" s="87"/>
      <c r="AY4" s="87"/>
      <c r="AZ4" s="87"/>
      <c r="BA4" s="87"/>
      <c r="BB4" s="87"/>
      <c r="BC4" s="87"/>
      <c r="BD4" s="87"/>
      <c r="BE4" s="87"/>
      <c r="BF4" s="87"/>
      <c r="BG4" s="87"/>
      <c r="BH4" s="87"/>
      <c r="BI4" s="87"/>
      <c r="BJ4" s="87"/>
      <c r="BK4" s="87"/>
      <c r="BL4" s="87"/>
      <c r="BM4" s="87"/>
      <c r="BN4" s="87"/>
      <c r="BO4" s="87"/>
      <c r="BP4" s="87"/>
      <c r="BQ4" s="87"/>
      <c r="BR4" s="87"/>
      <c r="BS4" s="87"/>
      <c r="BT4" s="87"/>
      <c r="BU4" s="87"/>
      <c r="BV4" s="87"/>
      <c r="BW4" s="87"/>
      <c r="BX4" s="87"/>
      <c r="BY4" s="87"/>
      <c r="BZ4" s="87"/>
      <c r="CA4" s="87"/>
      <c r="CB4" s="87"/>
      <c r="CC4" s="87"/>
      <c r="CD4" s="87"/>
      <c r="CE4" s="87"/>
      <c r="CF4" s="87"/>
      <c r="CG4" s="87"/>
      <c r="CH4" s="87"/>
      <c r="CI4" s="87"/>
      <c r="CJ4" s="87"/>
      <c r="CK4" s="87"/>
      <c r="CL4" s="87"/>
      <c r="CM4" s="87"/>
    </row>
    <row r="5" spans="1:91" ht="15.75" thickBot="1" x14ac:dyDescent="0.3">
      <c r="A5" s="87"/>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c r="AZ5" s="87"/>
      <c r="BA5" s="87"/>
      <c r="BB5" s="87"/>
      <c r="BC5" s="87"/>
      <c r="BD5" s="87"/>
      <c r="BE5" s="87"/>
      <c r="BF5" s="87"/>
      <c r="BG5" s="87"/>
      <c r="BH5" s="87"/>
      <c r="BI5" s="87"/>
      <c r="BJ5" s="87"/>
      <c r="BK5" s="87"/>
      <c r="BL5" s="87"/>
      <c r="BM5" s="87"/>
      <c r="BN5" s="87"/>
      <c r="BO5" s="87"/>
      <c r="BP5" s="87"/>
      <c r="BQ5" s="87"/>
      <c r="BR5" s="87"/>
      <c r="BS5" s="87"/>
      <c r="BT5" s="87"/>
      <c r="BU5" s="87"/>
    </row>
    <row r="6" spans="1:91" ht="15" customHeight="1" x14ac:dyDescent="0.25">
      <c r="A6" s="87"/>
      <c r="B6" s="695" t="s">
        <v>154</v>
      </c>
      <c r="C6" s="695"/>
      <c r="D6" s="696"/>
      <c r="E6" s="790" t="s">
        <v>461</v>
      </c>
      <c r="F6" s="791"/>
      <c r="G6" s="791"/>
      <c r="H6" s="791"/>
      <c r="I6" s="808"/>
      <c r="J6" s="50" t="str">
        <f ca="1">IF(AND('Mapa final'!$AC$9="Muy Alta",'Mapa final'!$AE$9="Leve"),CONCATENATE("R1C",'Mapa final'!$S$9),"")</f>
        <v/>
      </c>
      <c r="K6" s="51" t="str">
        <f>IF(AND('Mapa final'!$AC$11="Muy Alta",'Mapa final'!$AE$11="Leve"),CONCATENATE("R1C",'Mapa final'!$S$11),"")</f>
        <v/>
      </c>
      <c r="L6" s="51" t="str">
        <f>IF(AND('Mapa final'!$AC$13="Muy Alta",'Mapa final'!$AE$13="Leve"),CONCATENATE("R1C",'Mapa final'!$S$13),"")</f>
        <v/>
      </c>
      <c r="M6" s="51" t="str">
        <f>IF(AND('Mapa final'!$AC$14="Muy Alta",'Mapa final'!$AE$14="Leve"),CONCATENATE("R1C",'Mapa final'!$S$14),"")</f>
        <v/>
      </c>
      <c r="N6" s="51" t="str">
        <f>IF(AND('Mapa final'!$AC$15="Muy Alta",'Mapa final'!$AE$15="Leve"),CONCATENATE("R1C",'Mapa final'!$S$15),"")</f>
        <v/>
      </c>
      <c r="O6" s="52" t="str">
        <f ca="1">IF(AND('Mapa final'!$AC$60="Muy Alta",'Mapa final'!$AE$60="Leve"),CONCATENATE("R1C",'Mapa final'!$S$60),"")</f>
        <v/>
      </c>
      <c r="P6" s="50" t="str">
        <f ca="1">IF(AND('Mapa final'!$AC$9="Muy Alta",'Mapa final'!$AE$9="Menor"),CONCATENATE("R1C",'Mapa final'!$S$9),"")</f>
        <v/>
      </c>
      <c r="Q6" s="51" t="str">
        <f>IF(AND('Mapa final'!$AC$11="Muy Alta",'Mapa final'!$AE$11="Menor"),CONCATENATE("R1C",'Mapa final'!$S$11),"")</f>
        <v/>
      </c>
      <c r="R6" s="51" t="str">
        <f>IF(AND('Mapa final'!$AC$13="Muy Alta",'Mapa final'!$AE$13="Menor"),CONCATENATE("R1C",'Mapa final'!$S$13),"")</f>
        <v/>
      </c>
      <c r="S6" s="51" t="str">
        <f>IF(AND('Mapa final'!$AC$14="Muy Alta",'Mapa final'!$AE$14="Menor"),CONCATENATE("R1C",'Mapa final'!$S$14),"")</f>
        <v/>
      </c>
      <c r="T6" s="51" t="str">
        <f>IF(AND('Mapa final'!$AC$15="Muy Alta",'Mapa final'!$AE$15="Menor"),CONCATENATE("R1C",'Mapa final'!$S$15),"")</f>
        <v/>
      </c>
      <c r="U6" s="52" t="str">
        <f ca="1">IF(AND('Mapa final'!$AC$60="Muy Alta",'Mapa final'!$AE$60="Menor"),CONCATENATE("R1C",'Mapa final'!$S$60),"")</f>
        <v/>
      </c>
      <c r="V6" s="50" t="str">
        <f ca="1">IF(AND('Mapa final'!$AC$9="Muy Alta",'Mapa final'!$AE$9="Moderado"),CONCATENATE("R1C",'Mapa final'!$S$9),"")</f>
        <v/>
      </c>
      <c r="W6" s="51" t="str">
        <f>IF(AND('Mapa final'!$AC$11="Muy Alta",'Mapa final'!$AE$11="Moderado"),CONCATENATE("R1C",'Mapa final'!$S$11),"")</f>
        <v/>
      </c>
      <c r="X6" s="51" t="str">
        <f>IF(AND('Mapa final'!$AC$13="Muy Alta",'Mapa final'!$AE$13="Moderado"),CONCATENATE("R1C",'Mapa final'!$S$13),"")</f>
        <v/>
      </c>
      <c r="Y6" s="51" t="str">
        <f>IF(AND('Mapa final'!$AC$14="Muy Alta",'Mapa final'!$AE$14="Moderado"),CONCATENATE("R1C",'Mapa final'!$S$14),"")</f>
        <v/>
      </c>
      <c r="Z6" s="51" t="str">
        <f>IF(AND('Mapa final'!$AC$15="Muy Alta",'Mapa final'!$AE$15="Moderado"),CONCATENATE("R1C",'Mapa final'!$S$15),"")</f>
        <v/>
      </c>
      <c r="AA6" s="52" t="str">
        <f ca="1">IF(AND('Mapa final'!$AC$60="Muy Alta",'Mapa final'!$AE$60="Moderado"),CONCATENATE("R1C",'Mapa final'!$S$60),"")</f>
        <v/>
      </c>
      <c r="AB6" s="50" t="str">
        <f ca="1">IF(AND('Mapa final'!$AC$9="Muy Alta",'Mapa final'!$AE$9="Mayor"),CONCATENATE("R1C",'Mapa final'!$S$9),"")</f>
        <v/>
      </c>
      <c r="AC6" s="51" t="str">
        <f>IF(AND('Mapa final'!$AC$11="Muy Alta",'Mapa final'!$AE$11="Mayor"),CONCATENATE("R1C",'Mapa final'!$S$11),"")</f>
        <v/>
      </c>
      <c r="AD6" s="51" t="str">
        <f>IF(AND('Mapa final'!$AC$13="Muy Alta",'Mapa final'!$AE$13="Mayor"),CONCATENATE("R1C",'Mapa final'!$S$13),"")</f>
        <v/>
      </c>
      <c r="AE6" s="51" t="str">
        <f>IF(AND('Mapa final'!$AC$14="Muy Alta",'Mapa final'!$AE$14="Mayor"),CONCATENATE("R1C",'Mapa final'!$S$14),"")</f>
        <v/>
      </c>
      <c r="AF6" s="51" t="str">
        <f>IF(AND('Mapa final'!$AC$15="Muy Alta",'Mapa final'!$AE$15="Mayor"),CONCATENATE("R1C",'Mapa final'!$S$15),"")</f>
        <v/>
      </c>
      <c r="AG6" s="52" t="str">
        <f ca="1">IF(AND('Mapa final'!$AC$60="Muy Alta",'Mapa final'!$AE$60="Mayor"),CONCATENATE("R1C",'Mapa final'!$S$60),"")</f>
        <v/>
      </c>
      <c r="AH6" s="53" t="str">
        <f ca="1">IF(AND('Mapa final'!$AC$9="Muy Alta",'Mapa final'!$AE$9="Catastrófico"),CONCATENATE("R1C",'Mapa final'!$S$9),"")</f>
        <v/>
      </c>
      <c r="AI6" s="54" t="str">
        <f>IF(AND('Mapa final'!$AC$11="Muy Alta",'Mapa final'!$AE$11="Catastrófico"),CONCATENATE("R1C",'Mapa final'!$S$11),"")</f>
        <v/>
      </c>
      <c r="AJ6" s="54" t="str">
        <f>IF(AND('Mapa final'!$AC$13="Muy Alta",'Mapa final'!$AE$13="Catastrófico"),CONCATENATE("R1C",'Mapa final'!$S$13),"")</f>
        <v/>
      </c>
      <c r="AK6" s="54" t="str">
        <f>IF(AND('Mapa final'!$AC$14="Muy Alta",'Mapa final'!$AE$14="Catastrófico"),CONCATENATE("R1C",'Mapa final'!$S$14),"")</f>
        <v/>
      </c>
      <c r="AL6" s="54" t="str">
        <f>IF(AND('Mapa final'!$AC$15="Muy Alta",'Mapa final'!$AE$15="Catastrófico"),CONCATENATE("R1C",'Mapa final'!$S$15),"")</f>
        <v/>
      </c>
      <c r="AM6" s="55" t="str">
        <f ca="1">IF(AND('Mapa final'!$AC$60="Muy Alta",'Mapa final'!$AE$60="Catastrófico"),CONCATENATE("R1C",'Mapa final'!$S$60),"")</f>
        <v/>
      </c>
      <c r="AN6" s="87"/>
      <c r="AO6" s="797" t="s">
        <v>462</v>
      </c>
      <c r="AP6" s="798"/>
      <c r="AQ6" s="798"/>
      <c r="AR6" s="798"/>
      <c r="AS6" s="798"/>
      <c r="AT6" s="799"/>
      <c r="AU6" s="87"/>
      <c r="AV6" s="87"/>
      <c r="AW6" s="87"/>
      <c r="AX6" s="87"/>
      <c r="AY6" s="87"/>
      <c r="AZ6" s="87"/>
      <c r="BA6" s="87"/>
      <c r="BB6" s="87"/>
      <c r="BC6" s="87"/>
      <c r="BD6" s="87"/>
      <c r="BE6" s="87"/>
      <c r="BF6" s="87"/>
      <c r="BG6" s="87"/>
      <c r="BH6" s="87"/>
      <c r="BI6" s="87"/>
      <c r="BJ6" s="87"/>
      <c r="BK6" s="87"/>
      <c r="BL6" s="87"/>
      <c r="BM6" s="87"/>
      <c r="BN6" s="87"/>
      <c r="BO6" s="87"/>
      <c r="BP6" s="87"/>
      <c r="BQ6" s="87"/>
      <c r="BR6" s="87"/>
      <c r="BS6" s="87"/>
      <c r="BT6" s="87"/>
      <c r="BU6" s="87"/>
      <c r="BV6" s="87"/>
      <c r="BW6" s="87"/>
      <c r="BX6" s="87"/>
    </row>
    <row r="7" spans="1:91" ht="15" customHeight="1" x14ac:dyDescent="0.25">
      <c r="A7" s="87"/>
      <c r="B7" s="695"/>
      <c r="C7" s="695"/>
      <c r="D7" s="696"/>
      <c r="E7" s="794"/>
      <c r="F7" s="793"/>
      <c r="G7" s="793"/>
      <c r="H7" s="793"/>
      <c r="I7" s="809"/>
      <c r="J7" s="56" t="str">
        <f ca="1">IF(AND('Mapa final'!$AC$63="Muy Alta",'Mapa final'!$AE$63="Leve"),CONCATENATE("R2C",'Mapa final'!$S$63),"")</f>
        <v/>
      </c>
      <c r="K7" s="57" t="str">
        <f ca="1">IF(AND('Mapa final'!$AC$66="Muy Alta",'Mapa final'!$AE$66="Leve"),CONCATENATE("R2C",'Mapa final'!$S$66),"")</f>
        <v/>
      </c>
      <c r="L7" s="57" t="str">
        <f ca="1">IF(AND('Mapa final'!$AC$69="Muy Alta",'Mapa final'!$AE$69="Leve"),CONCATENATE("R2C",'Mapa final'!$S$69),"")</f>
        <v/>
      </c>
      <c r="M7" s="57" t="str">
        <f ca="1">IF(AND('Mapa final'!$AC$70="Muy Alta",'Mapa final'!$AE$70="Leve"),CONCATENATE("R2C",'Mapa final'!$S$70),"")</f>
        <v/>
      </c>
      <c r="N7" s="57" t="str">
        <f ca="1">IF(AND('Mapa final'!$AC$71="Muy Alta",'Mapa final'!$AE$71="Leve"),CONCATENATE("R2C",'Mapa final'!$S$71),"")</f>
        <v/>
      </c>
      <c r="O7" s="58" t="str">
        <f ca="1">IF(AND('Mapa final'!$AC$74="Muy Alta",'Mapa final'!$AE$74="Leve"),CONCATENATE("R2C",'Mapa final'!$S$74),"")</f>
        <v/>
      </c>
      <c r="P7" s="56" t="str">
        <f ca="1">IF(AND('Mapa final'!$AC$63="Muy Alta",'Mapa final'!$AE$63="Menor"),CONCATENATE("R2C",'Mapa final'!$S$63),"")</f>
        <v/>
      </c>
      <c r="Q7" s="57" t="str">
        <f ca="1">IF(AND('Mapa final'!$AC$66="Muy Alta",'Mapa final'!$AE$66="Menor"),CONCATENATE("R2C",'Mapa final'!$S$66),"")</f>
        <v/>
      </c>
      <c r="R7" s="57" t="str">
        <f ca="1">IF(AND('Mapa final'!$AC$69="Muy Alta",'Mapa final'!$AE$69="Menor"),CONCATENATE("R2C",'Mapa final'!$S$69),"")</f>
        <v/>
      </c>
      <c r="S7" s="57" t="str">
        <f ca="1">IF(AND('Mapa final'!$AC$70="Muy Alta",'Mapa final'!$AE$70="Menor"),CONCATENATE("R2C",'Mapa final'!$S$70),"")</f>
        <v/>
      </c>
      <c r="T7" s="57" t="str">
        <f ca="1">IF(AND('Mapa final'!$AC$71="Muy Alta",'Mapa final'!$AE$71="Menor"),CONCATENATE("R2C",'Mapa final'!$S$71),"")</f>
        <v/>
      </c>
      <c r="U7" s="58" t="str">
        <f ca="1">IF(AND('Mapa final'!$AC$74="Muy Alta",'Mapa final'!$AE$74="Menor"),CONCATENATE("R2C",'Mapa final'!$S$74),"")</f>
        <v/>
      </c>
      <c r="V7" s="56" t="str">
        <f ca="1">IF(AND('Mapa final'!$AC$63="Muy Alta",'Mapa final'!$AE$63="Moderado"),CONCATENATE("R2C",'Mapa final'!$S$63),"")</f>
        <v/>
      </c>
      <c r="W7" s="57" t="str">
        <f ca="1">IF(AND('Mapa final'!$AC$66="Muy Alta",'Mapa final'!$AE$66="Moderado"),CONCATENATE("R2C",'Mapa final'!$S$66),"")</f>
        <v/>
      </c>
      <c r="X7" s="57" t="str">
        <f ca="1">IF(AND('Mapa final'!$AC$69="Muy Alta",'Mapa final'!$AE$69="Moderado"),CONCATENATE("R2C",'Mapa final'!$S$69),"")</f>
        <v/>
      </c>
      <c r="Y7" s="57" t="str">
        <f ca="1">IF(AND('Mapa final'!$AC$70="Muy Alta",'Mapa final'!$AE$70="Moderado"),CONCATENATE("R2C",'Mapa final'!$S$70),"")</f>
        <v/>
      </c>
      <c r="Z7" s="57" t="str">
        <f ca="1">IF(AND('Mapa final'!$AC$71="Muy Alta",'Mapa final'!$AE$71="Moderado"),CONCATENATE("R2C",'Mapa final'!$S$71),"")</f>
        <v/>
      </c>
      <c r="AA7" s="58" t="str">
        <f ca="1">IF(AND('Mapa final'!$AC$74="Muy Alta",'Mapa final'!$AE$74="Moderado"),CONCATENATE("R2C",'Mapa final'!$S$74),"")</f>
        <v/>
      </c>
      <c r="AB7" s="56" t="str">
        <f ca="1">IF(AND('Mapa final'!$AC$63="Muy Alta",'Mapa final'!$AE$63="Mayor"),CONCATENATE("R2C",'Mapa final'!$S$63),"")</f>
        <v/>
      </c>
      <c r="AC7" s="57" t="str">
        <f ca="1">IF(AND('Mapa final'!$AC$66="Muy Alta",'Mapa final'!$AE$66="Mayor"),CONCATENATE("R2C",'Mapa final'!$S$66),"")</f>
        <v/>
      </c>
      <c r="AD7" s="57" t="str">
        <f ca="1">IF(AND('Mapa final'!$AC$69="Muy Alta",'Mapa final'!$AE$69="Mayor"),CONCATENATE("R2C",'Mapa final'!$S$69),"")</f>
        <v/>
      </c>
      <c r="AE7" s="57" t="str">
        <f ca="1">IF(AND('Mapa final'!$AC$70="Muy Alta",'Mapa final'!$AE$70="Mayor"),CONCATENATE("R2C",'Mapa final'!$S$70),"")</f>
        <v/>
      </c>
      <c r="AF7" s="57" t="str">
        <f ca="1">IF(AND('Mapa final'!$AC$71="Muy Alta",'Mapa final'!$AE$71="Mayor"),CONCATENATE("R2C",'Mapa final'!$S$71),"")</f>
        <v/>
      </c>
      <c r="AG7" s="58" t="str">
        <f ca="1">IF(AND('Mapa final'!$AC$74="Muy Alta",'Mapa final'!$AE$74="Mayor"),CONCATENATE("R2C",'Mapa final'!$S$74),"")</f>
        <v/>
      </c>
      <c r="AH7" s="59" t="str">
        <f ca="1">IF(AND('Mapa final'!$AC$63="Muy Alta",'Mapa final'!$AE$63="Catastrófico"),CONCATENATE("R2C",'Mapa final'!$S$63),"")</f>
        <v/>
      </c>
      <c r="AI7" s="60" t="str">
        <f ca="1">IF(AND('Mapa final'!$AC$66="Muy Alta",'Mapa final'!$AE$66="Catastrófico"),CONCATENATE("R2C",'Mapa final'!$S$66),"")</f>
        <v/>
      </c>
      <c r="AJ7" s="60" t="str">
        <f ca="1">IF(AND('Mapa final'!$AC$69="Muy Alta",'Mapa final'!$AE$69="Catastrófico"),CONCATENATE("R2C",'Mapa final'!$S$69),"")</f>
        <v/>
      </c>
      <c r="AK7" s="60" t="str">
        <f ca="1">IF(AND('Mapa final'!$AC$70="Muy Alta",'Mapa final'!$AE$70="Catastrófico"),CONCATENATE("R2C",'Mapa final'!$S$70),"")</f>
        <v/>
      </c>
      <c r="AL7" s="60" t="str">
        <f ca="1">IF(AND('Mapa final'!$AC$71="Muy Alta",'Mapa final'!$AE$71="Catastrófico"),CONCATENATE("R2C",'Mapa final'!$S$71),"")</f>
        <v/>
      </c>
      <c r="AM7" s="61" t="str">
        <f ca="1">IF(AND('Mapa final'!$AC$74="Muy Alta",'Mapa final'!$AE$74="Catastrófico"),CONCATENATE("R2C",'Mapa final'!$S$74),"")</f>
        <v/>
      </c>
      <c r="AN7" s="87"/>
      <c r="AO7" s="800"/>
      <c r="AP7" s="801"/>
      <c r="AQ7" s="801"/>
      <c r="AR7" s="801"/>
      <c r="AS7" s="801"/>
      <c r="AT7" s="802"/>
      <c r="AU7" s="87"/>
      <c r="AV7" s="87"/>
      <c r="AW7" s="87"/>
      <c r="AX7" s="87"/>
      <c r="AY7" s="87"/>
      <c r="AZ7" s="87"/>
      <c r="BA7" s="87"/>
      <c r="BB7" s="87"/>
      <c r="BC7" s="87"/>
      <c r="BD7" s="87"/>
      <c r="BE7" s="87"/>
      <c r="BF7" s="87"/>
      <c r="BG7" s="87"/>
      <c r="BH7" s="87"/>
      <c r="BI7" s="87"/>
      <c r="BJ7" s="87"/>
      <c r="BK7" s="87"/>
      <c r="BL7" s="87"/>
      <c r="BM7" s="87"/>
      <c r="BN7" s="87"/>
      <c r="BO7" s="87"/>
      <c r="BP7" s="87"/>
      <c r="BQ7" s="87"/>
      <c r="BR7" s="87"/>
      <c r="BS7" s="87"/>
      <c r="BT7" s="87"/>
      <c r="BU7" s="87"/>
      <c r="BV7" s="87"/>
      <c r="BW7" s="87"/>
      <c r="BX7" s="87"/>
    </row>
    <row r="8" spans="1:91" ht="15" customHeight="1" x14ac:dyDescent="0.25">
      <c r="A8" s="87"/>
      <c r="B8" s="695"/>
      <c r="C8" s="695"/>
      <c r="D8" s="696"/>
      <c r="E8" s="794"/>
      <c r="F8" s="793"/>
      <c r="G8" s="793"/>
      <c r="H8" s="793"/>
      <c r="I8" s="809"/>
      <c r="J8" s="56" t="str">
        <f ca="1">IF(AND('Mapa final'!$AC$75="Muy Alta",'Mapa final'!$AE$75="Leve"),CONCATENATE("R3C",'Mapa final'!$S$75),"")</f>
        <v/>
      </c>
      <c r="K8" s="57" t="str">
        <f>IF(AND('Mapa final'!$AC$76="Muy Alta",'Mapa final'!$AE$76="Leve"),CONCATENATE("R3C",'Mapa final'!$S$76),"")</f>
        <v/>
      </c>
      <c r="L8" s="57" t="str">
        <f>IF(AND('Mapa final'!$AC$77="Muy Alta",'Mapa final'!$AE$77="Leve"),CONCATENATE("R3C",'Mapa final'!$S$77),"")</f>
        <v/>
      </c>
      <c r="M8" s="57" t="str">
        <f>IF(AND('Mapa final'!$AC$78="Muy Alta",'Mapa final'!$AE$78="Leve"),CONCATENATE("R3C",'Mapa final'!$S$78),"")</f>
        <v/>
      </c>
      <c r="N8" s="57" t="str">
        <f>IF(AND('Mapa final'!$AC$79="Muy Alta",'Mapa final'!$AE$79="Leve"),CONCATENATE("R3C",'Mapa final'!$S$79),"")</f>
        <v/>
      </c>
      <c r="O8" s="58" t="str">
        <f ca="1">IF(AND('Mapa final'!$AC$80="Muy Alta",'Mapa final'!$AE$80="Leve"),CONCATENATE("R3C",'Mapa final'!$S$80),"")</f>
        <v/>
      </c>
      <c r="P8" s="56" t="str">
        <f ca="1">IF(AND('Mapa final'!$AC$75="Muy Alta",'Mapa final'!$AE$75="Menor"),CONCATENATE("R3C",'Mapa final'!$S$75),"")</f>
        <v/>
      </c>
      <c r="Q8" s="57" t="str">
        <f>IF(AND('Mapa final'!$AC$76="Muy Alta",'Mapa final'!$AE$76="Menor"),CONCATENATE("R3C",'Mapa final'!$S$76),"")</f>
        <v/>
      </c>
      <c r="R8" s="57" t="str">
        <f>IF(AND('Mapa final'!$AC$77="Muy Alta",'Mapa final'!$AE$77="Menor"),CONCATENATE("R3C",'Mapa final'!$S$77),"")</f>
        <v/>
      </c>
      <c r="S8" s="57" t="str">
        <f>IF(AND('Mapa final'!$AC$78="Muy Alta",'Mapa final'!$AE$78="Menor"),CONCATENATE("R3C",'Mapa final'!$S$78),"")</f>
        <v/>
      </c>
      <c r="T8" s="57" t="str">
        <f>IF(AND('Mapa final'!$AC$79="Muy Alta",'Mapa final'!$AE$79="Menor"),CONCATENATE("R3C",'Mapa final'!$S$79),"")</f>
        <v/>
      </c>
      <c r="U8" s="58" t="str">
        <f ca="1">IF(AND('Mapa final'!$AC$80="Muy Alta",'Mapa final'!$AE$80="Menor"),CONCATENATE("R3C",'Mapa final'!$S$80),"")</f>
        <v/>
      </c>
      <c r="V8" s="56" t="str">
        <f ca="1">IF(AND('Mapa final'!$AC$75="Muy Alta",'Mapa final'!$AE$75="Moderado"),CONCATENATE("R3C",'Mapa final'!$S$75),"")</f>
        <v/>
      </c>
      <c r="W8" s="57" t="str">
        <f>IF(AND('Mapa final'!$AC$76="Muy Alta",'Mapa final'!$AE$76="Moderado"),CONCATENATE("R3C",'Mapa final'!$S$76),"")</f>
        <v/>
      </c>
      <c r="X8" s="57" t="str">
        <f>IF(AND('Mapa final'!$AC$77="Muy Alta",'Mapa final'!$AE$77="Moderado"),CONCATENATE("R3C",'Mapa final'!$S$77),"")</f>
        <v/>
      </c>
      <c r="Y8" s="57" t="str">
        <f>IF(AND('Mapa final'!$AC$78="Muy Alta",'Mapa final'!$AE$78="Moderado"),CONCATENATE("R3C",'Mapa final'!$S$78),"")</f>
        <v/>
      </c>
      <c r="Z8" s="57" t="str">
        <f>IF(AND('Mapa final'!$AC$79="Muy Alta",'Mapa final'!$AE$79="Moderado"),CONCATENATE("R3C",'Mapa final'!$S$79),"")</f>
        <v/>
      </c>
      <c r="AA8" s="58" t="str">
        <f ca="1">IF(AND('Mapa final'!$AC$80="Muy Alta",'Mapa final'!$AE$80="Moderado"),CONCATENATE("R3C",'Mapa final'!$S$80),"")</f>
        <v/>
      </c>
      <c r="AB8" s="56" t="str">
        <f ca="1">IF(AND('Mapa final'!$AC$75="Muy Alta",'Mapa final'!$AE$75="Mayor"),CONCATENATE("R3C",'Mapa final'!$S$75),"")</f>
        <v/>
      </c>
      <c r="AC8" s="57" t="str">
        <f>IF(AND('Mapa final'!$AC$76="Muy Alta",'Mapa final'!$AE$76="Mayor"),CONCATENATE("R3C",'Mapa final'!$S$76),"")</f>
        <v/>
      </c>
      <c r="AD8" s="57" t="str">
        <f>IF(AND('Mapa final'!$AC$77="Muy Alta",'Mapa final'!$AE$77="Mayor"),CONCATENATE("R3C",'Mapa final'!$S$77),"")</f>
        <v/>
      </c>
      <c r="AE8" s="57" t="str">
        <f>IF(AND('Mapa final'!$AC$78="Muy Alta",'Mapa final'!$AE$78="Mayor"),CONCATENATE("R3C",'Mapa final'!$S$78),"")</f>
        <v/>
      </c>
      <c r="AF8" s="57" t="str">
        <f>IF(AND('Mapa final'!$AC$79="Muy Alta",'Mapa final'!$AE$79="Mayor"),CONCATENATE("R3C",'Mapa final'!$S$79),"")</f>
        <v/>
      </c>
      <c r="AG8" s="58" t="str">
        <f ca="1">IF(AND('Mapa final'!$AC$80="Muy Alta",'Mapa final'!$AE$80="Mayor"),CONCATENATE("R3C",'Mapa final'!$S$80),"")</f>
        <v/>
      </c>
      <c r="AH8" s="59" t="str">
        <f ca="1">IF(AND('Mapa final'!$AC$75="Muy Alta",'Mapa final'!$AE$75="Catastrófico"),CONCATENATE("R3C",'Mapa final'!$S$75),"")</f>
        <v/>
      </c>
      <c r="AI8" s="60" t="str">
        <f>IF(AND('Mapa final'!$AC$76="Muy Alta",'Mapa final'!$AE$76="Catastrófico"),CONCATENATE("R3C",'Mapa final'!$S$76),"")</f>
        <v/>
      </c>
      <c r="AJ8" s="60" t="str">
        <f>IF(AND('Mapa final'!$AC$77="Muy Alta",'Mapa final'!$AE$77="Catastrófico"),CONCATENATE("R3C",'Mapa final'!$S$77),"")</f>
        <v/>
      </c>
      <c r="AK8" s="60" t="str">
        <f>IF(AND('Mapa final'!$AC$78="Muy Alta",'Mapa final'!$AE$78="Catastrófico"),CONCATENATE("R3C",'Mapa final'!$S$78),"")</f>
        <v/>
      </c>
      <c r="AL8" s="60" t="str">
        <f>IF(AND('Mapa final'!$AC$79="Muy Alta",'Mapa final'!$AE$79="Catastrófico"),CONCATENATE("R3C",'Mapa final'!$S$79),"")</f>
        <v/>
      </c>
      <c r="AM8" s="61" t="str">
        <f ca="1">IF(AND('Mapa final'!$AC$80="Muy Alta",'Mapa final'!$AE$80="Catastrófico"),CONCATENATE("R3C",'Mapa final'!$S$80),"")</f>
        <v/>
      </c>
      <c r="AN8" s="87"/>
      <c r="AO8" s="800"/>
      <c r="AP8" s="801"/>
      <c r="AQ8" s="801"/>
      <c r="AR8" s="801"/>
      <c r="AS8" s="801"/>
      <c r="AT8" s="802"/>
      <c r="AU8" s="87"/>
      <c r="AV8" s="87"/>
      <c r="AW8" s="87"/>
      <c r="AX8" s="87"/>
      <c r="AY8" s="87"/>
      <c r="AZ8" s="87"/>
      <c r="BA8" s="87"/>
      <c r="BB8" s="87"/>
      <c r="BC8" s="87"/>
      <c r="BD8" s="87"/>
      <c r="BE8" s="87"/>
      <c r="BF8" s="87"/>
      <c r="BG8" s="87"/>
      <c r="BH8" s="87"/>
      <c r="BI8" s="87"/>
      <c r="BJ8" s="87"/>
      <c r="BK8" s="87"/>
      <c r="BL8" s="87"/>
      <c r="BM8" s="87"/>
      <c r="BN8" s="87"/>
      <c r="BO8" s="87"/>
      <c r="BP8" s="87"/>
      <c r="BQ8" s="87"/>
      <c r="BR8" s="87"/>
      <c r="BS8" s="87"/>
      <c r="BT8" s="87"/>
      <c r="BU8" s="87"/>
      <c r="BV8" s="87"/>
      <c r="BW8" s="87"/>
      <c r="BX8" s="87"/>
    </row>
    <row r="9" spans="1:91" ht="15" customHeight="1" x14ac:dyDescent="0.25">
      <c r="A9" s="87"/>
      <c r="B9" s="695"/>
      <c r="C9" s="695"/>
      <c r="D9" s="696"/>
      <c r="E9" s="794"/>
      <c r="F9" s="793"/>
      <c r="G9" s="793"/>
      <c r="H9" s="793"/>
      <c r="I9" s="809"/>
      <c r="J9" s="56" t="str">
        <f ca="1">IF(AND('Mapa final'!$AC$81="Muy Alta",'Mapa final'!$AE$81="Leve"),CONCATENATE("R4C",'Mapa final'!$S$81),"")</f>
        <v/>
      </c>
      <c r="K9" s="57" t="str">
        <f ca="1">IF(AND('Mapa final'!$AC$86="Muy Alta",'Mapa final'!$AE$86="Leve"),CONCATENATE("R4C",'Mapa final'!$S$86),"")</f>
        <v/>
      </c>
      <c r="L9" s="57" t="e">
        <f>IF(AND('Mapa final'!#REF!="Muy Alta",'Mapa final'!#REF!="Leve"),CONCATENATE("R4C",'Mapa final'!#REF!),"")</f>
        <v>#REF!</v>
      </c>
      <c r="M9" s="57" t="str">
        <f ca="1">IF(AND('Mapa final'!$AC$87="Muy Alta",'Mapa final'!$AE$87="Leve"),CONCATENATE("R4C",'Mapa final'!$S$87),"")</f>
        <v/>
      </c>
      <c r="N9" s="57" t="str">
        <f ca="1">IF(AND('Mapa final'!$AC$88="Muy Alta",'Mapa final'!$AE$88="Leve"),CONCATENATE("R4C",'Mapa final'!$S$88),"")</f>
        <v/>
      </c>
      <c r="O9" s="58" t="e">
        <f>IF(AND('Mapa final'!#REF!="Muy Alta",'Mapa final'!#REF!="Leve"),CONCATENATE("R4C",'Mapa final'!#REF!),"")</f>
        <v>#REF!</v>
      </c>
      <c r="P9" s="56" t="str">
        <f ca="1">IF(AND('Mapa final'!$AC$81="Muy Alta",'Mapa final'!$AE$81="Menor"),CONCATENATE("R4C",'Mapa final'!$S$81),"")</f>
        <v/>
      </c>
      <c r="Q9" s="57" t="str">
        <f ca="1">IF(AND('Mapa final'!$AC$86="Muy Alta",'Mapa final'!$AE$86="Menor"),CONCATENATE("R4C",'Mapa final'!$S$86),"")</f>
        <v/>
      </c>
      <c r="R9" s="57" t="e">
        <f>IF(AND('Mapa final'!#REF!="Muy Alta",'Mapa final'!#REF!="Menor"),CONCATENATE("R4C",'Mapa final'!#REF!),"")</f>
        <v>#REF!</v>
      </c>
      <c r="S9" s="57" t="str">
        <f ca="1">IF(AND('Mapa final'!$AC$87="Muy Alta",'Mapa final'!$AE$87="Menor"),CONCATENATE("R4C",'Mapa final'!$S$87),"")</f>
        <v/>
      </c>
      <c r="T9" s="57" t="str">
        <f ca="1">IF(AND('Mapa final'!$AC$88="Muy Alta",'Mapa final'!$AE$88="Menor"),CONCATENATE("R4C",'Mapa final'!$S$88),"")</f>
        <v/>
      </c>
      <c r="U9" s="58" t="e">
        <f>IF(AND('Mapa final'!#REF!="Muy Alta",'Mapa final'!#REF!="Menor"),CONCATENATE("R4C",'Mapa final'!#REF!),"")</f>
        <v>#REF!</v>
      </c>
      <c r="V9" s="56" t="str">
        <f ca="1">IF(AND('Mapa final'!$AC$81="Muy Alta",'Mapa final'!$AE$81="Moderado"),CONCATENATE("R4C",'Mapa final'!$S$81),"")</f>
        <v/>
      </c>
      <c r="W9" s="57" t="str">
        <f ca="1">IF(AND('Mapa final'!$AC$86="Muy Alta",'Mapa final'!$AE$86="Moderado"),CONCATENATE("R4C",'Mapa final'!$S$86),"")</f>
        <v/>
      </c>
      <c r="X9" s="57" t="e">
        <f>IF(AND('Mapa final'!#REF!="Muy Alta",'Mapa final'!#REF!="Moderado"),CONCATENATE("R4C",'Mapa final'!#REF!),"")</f>
        <v>#REF!</v>
      </c>
      <c r="Y9" s="57" t="str">
        <f ca="1">IF(AND('Mapa final'!$AC$87="Muy Alta",'Mapa final'!$AE$87="Moderado"),CONCATENATE("R4C",'Mapa final'!$S$87),"")</f>
        <v/>
      </c>
      <c r="Z9" s="57" t="str">
        <f ca="1">IF(AND('Mapa final'!$AC$88="Muy Alta",'Mapa final'!$AE$88="Moderado"),CONCATENATE("R4C",'Mapa final'!$S$88),"")</f>
        <v/>
      </c>
      <c r="AA9" s="58" t="e">
        <f>IF(AND('Mapa final'!#REF!="Muy Alta",'Mapa final'!#REF!="Moderado"),CONCATENATE("R4C",'Mapa final'!#REF!),"")</f>
        <v>#REF!</v>
      </c>
      <c r="AB9" s="56" t="str">
        <f ca="1">IF(AND('Mapa final'!$AC$81="Muy Alta",'Mapa final'!$AE$81="Mayor"),CONCATENATE("R4C",'Mapa final'!$S$81),"")</f>
        <v/>
      </c>
      <c r="AC9" s="57" t="str">
        <f ca="1">IF(AND('Mapa final'!$AC$86="Muy Alta",'Mapa final'!$AE$86="Mayor"),CONCATENATE("R4C",'Mapa final'!$S$86),"")</f>
        <v/>
      </c>
      <c r="AD9" s="57" t="e">
        <f>IF(AND('Mapa final'!#REF!="Muy Alta",'Mapa final'!#REF!="Mayor"),CONCATENATE("R4C",'Mapa final'!#REF!),"")</f>
        <v>#REF!</v>
      </c>
      <c r="AE9" s="57" t="str">
        <f ca="1">IF(AND('Mapa final'!$AC$87="Muy Alta",'Mapa final'!$AE$87="Mayor"),CONCATENATE("R4C",'Mapa final'!$S$87),"")</f>
        <v/>
      </c>
      <c r="AF9" s="57" t="str">
        <f ca="1">IF(AND('Mapa final'!$AC$88="Muy Alta",'Mapa final'!$AE$88="Mayor"),CONCATENATE("R4C",'Mapa final'!$S$88),"")</f>
        <v/>
      </c>
      <c r="AG9" s="58" t="e">
        <f>IF(AND('Mapa final'!#REF!="Muy Alta",'Mapa final'!#REF!="Mayor"),CONCATENATE("R4C",'Mapa final'!#REF!),"")</f>
        <v>#REF!</v>
      </c>
      <c r="AH9" s="59" t="str">
        <f ca="1">IF(AND('Mapa final'!$AC$81="Muy Alta",'Mapa final'!$AE$81="Catastrófico"),CONCATENATE("R4C",'Mapa final'!$S$81),"")</f>
        <v/>
      </c>
      <c r="AI9" s="60" t="str">
        <f ca="1">IF(AND('Mapa final'!$AC$86="Muy Alta",'Mapa final'!$AE$86="Catastrófico"),CONCATENATE("R4C",'Mapa final'!$S$86),"")</f>
        <v/>
      </c>
      <c r="AJ9" s="60" t="e">
        <f>IF(AND('Mapa final'!#REF!="Muy Alta",'Mapa final'!#REF!="Catastrófico"),CONCATENATE("R4C",'Mapa final'!#REF!),"")</f>
        <v>#REF!</v>
      </c>
      <c r="AK9" s="60" t="str">
        <f ca="1">IF(AND('Mapa final'!$AC$87="Muy Alta",'Mapa final'!$AE$87="Catastrófico"),CONCATENATE("R4C",'Mapa final'!$S$87),"")</f>
        <v/>
      </c>
      <c r="AL9" s="60" t="str">
        <f ca="1">IF(AND('Mapa final'!$AC$88="Muy Alta",'Mapa final'!$AE$88="Catastrófico"),CONCATENATE("R4C",'Mapa final'!$S$88),"")</f>
        <v/>
      </c>
      <c r="AM9" s="61" t="e">
        <f>IF(AND('Mapa final'!#REF!="Muy Alta",'Mapa final'!#REF!="Catastrófico"),CONCATENATE("R4C",'Mapa final'!#REF!),"")</f>
        <v>#REF!</v>
      </c>
      <c r="AN9" s="87"/>
      <c r="AO9" s="800"/>
      <c r="AP9" s="801"/>
      <c r="AQ9" s="801"/>
      <c r="AR9" s="801"/>
      <c r="AS9" s="801"/>
      <c r="AT9" s="802"/>
      <c r="AU9" s="87"/>
      <c r="AV9" s="87"/>
      <c r="AW9" s="87"/>
      <c r="AX9" s="87"/>
      <c r="AY9" s="87"/>
      <c r="AZ9" s="87"/>
      <c r="BA9" s="87"/>
      <c r="BB9" s="87"/>
      <c r="BC9" s="87"/>
      <c r="BD9" s="87"/>
      <c r="BE9" s="87"/>
      <c r="BF9" s="87"/>
      <c r="BG9" s="87"/>
      <c r="BH9" s="87"/>
      <c r="BI9" s="87"/>
      <c r="BJ9" s="87"/>
      <c r="BK9" s="87"/>
      <c r="BL9" s="87"/>
      <c r="BM9" s="87"/>
      <c r="BN9" s="87"/>
      <c r="BO9" s="87"/>
      <c r="BP9" s="87"/>
      <c r="BQ9" s="87"/>
      <c r="BR9" s="87"/>
      <c r="BS9" s="87"/>
      <c r="BT9" s="87"/>
      <c r="BU9" s="87"/>
      <c r="BV9" s="87"/>
      <c r="BW9" s="87"/>
      <c r="BX9" s="87"/>
    </row>
    <row r="10" spans="1:91" ht="15" customHeight="1" x14ac:dyDescent="0.25">
      <c r="A10" s="87"/>
      <c r="B10" s="695"/>
      <c r="C10" s="695"/>
      <c r="D10" s="696"/>
      <c r="E10" s="794"/>
      <c r="F10" s="793"/>
      <c r="G10" s="793"/>
      <c r="H10" s="793"/>
      <c r="I10" s="809"/>
      <c r="J10" s="56" t="str">
        <f ca="1">IF(AND('Mapa final'!$AC$89="Muy Alta",'Mapa final'!$AE$89="Leve"),CONCATENATE("R5C",'Mapa final'!$S$89),"")</f>
        <v/>
      </c>
      <c r="K10" s="57" t="str">
        <f ca="1">IF(AND('Mapa final'!$AC$91="Muy Alta",'Mapa final'!$AE$91="Leve"),CONCATENATE("R5C",'Mapa final'!$S$91),"")</f>
        <v/>
      </c>
      <c r="L10" s="57" t="str">
        <f ca="1">IF(AND('Mapa final'!$AC$92="Muy Alta",'Mapa final'!$AE$92="Leve"),CONCATENATE("R5C",'Mapa final'!$S$92),"")</f>
        <v/>
      </c>
      <c r="M10" s="57" t="str">
        <f ca="1">IF(AND('Mapa final'!$AC$95="Muy Alta",'Mapa final'!$AE$95="Leve"),CONCATENATE("R5C",'Mapa final'!$S$95),"")</f>
        <v/>
      </c>
      <c r="N10" s="57" t="e">
        <f>IF(AND('Mapa final'!#REF!="Muy Alta",'Mapa final'!#REF!="Leve"),CONCATENATE("R5C",'Mapa final'!#REF!),"")</f>
        <v>#REF!</v>
      </c>
      <c r="O10" s="58" t="e">
        <f>IF(AND('Mapa final'!#REF!="Muy Alta",'Mapa final'!#REF!="Leve"),CONCATENATE("R5C",'Mapa final'!#REF!),"")</f>
        <v>#REF!</v>
      </c>
      <c r="P10" s="56" t="str">
        <f ca="1">IF(AND('Mapa final'!$AC$89="Muy Alta",'Mapa final'!$AE$89="Menor"),CONCATENATE("R5C",'Mapa final'!$S$89),"")</f>
        <v/>
      </c>
      <c r="Q10" s="57" t="str">
        <f ca="1">IF(AND('Mapa final'!$AC$91="Muy Alta",'Mapa final'!$AE$91="Menor"),CONCATENATE("R5C",'Mapa final'!$S$91),"")</f>
        <v/>
      </c>
      <c r="R10" s="57" t="str">
        <f ca="1">IF(AND('Mapa final'!$AC$92="Muy Alta",'Mapa final'!$AE$92="Menor"),CONCATENATE("R5C",'Mapa final'!$S$92),"")</f>
        <v/>
      </c>
      <c r="S10" s="57" t="str">
        <f ca="1">IF(AND('Mapa final'!$AC$95="Muy Alta",'Mapa final'!$AE$95="Menor"),CONCATENATE("R5C",'Mapa final'!$S$95),"")</f>
        <v/>
      </c>
      <c r="T10" s="57" t="e">
        <f>IF(AND('Mapa final'!#REF!="Muy Alta",'Mapa final'!#REF!="Menor"),CONCATENATE("R5C",'Mapa final'!#REF!),"")</f>
        <v>#REF!</v>
      </c>
      <c r="U10" s="58" t="e">
        <f>IF(AND('Mapa final'!#REF!="Muy Alta",'Mapa final'!#REF!="Menor"),CONCATENATE("R5C",'Mapa final'!#REF!),"")</f>
        <v>#REF!</v>
      </c>
      <c r="V10" s="56" t="str">
        <f ca="1">IF(AND('Mapa final'!$AC$89="Muy Alta",'Mapa final'!$AE$89="Moderado"),CONCATENATE("R5C",'Mapa final'!$S$89),"")</f>
        <v/>
      </c>
      <c r="W10" s="57" t="str">
        <f ca="1">IF(AND('Mapa final'!$AC$91="Muy Alta",'Mapa final'!$AE$91="Moderado"),CONCATENATE("R5C",'Mapa final'!$S$91),"")</f>
        <v/>
      </c>
      <c r="X10" s="57" t="str">
        <f ca="1">IF(AND('Mapa final'!$AC$92="Muy Alta",'Mapa final'!$AE$92="Moderado"),CONCATENATE("R5C",'Mapa final'!$S$92),"")</f>
        <v/>
      </c>
      <c r="Y10" s="57" t="str">
        <f ca="1">IF(AND('Mapa final'!$AC$95="Muy Alta",'Mapa final'!$AE$95="Moderado"),CONCATENATE("R5C",'Mapa final'!$S$95),"")</f>
        <v/>
      </c>
      <c r="Z10" s="57" t="e">
        <f>IF(AND('Mapa final'!#REF!="Muy Alta",'Mapa final'!#REF!="Moderado"),CONCATENATE("R5C",'Mapa final'!#REF!),"")</f>
        <v>#REF!</v>
      </c>
      <c r="AA10" s="58" t="e">
        <f>IF(AND('Mapa final'!#REF!="Muy Alta",'Mapa final'!#REF!="Moderado"),CONCATENATE("R5C",'Mapa final'!#REF!),"")</f>
        <v>#REF!</v>
      </c>
      <c r="AB10" s="56" t="str">
        <f ca="1">IF(AND('Mapa final'!$AC$89="Muy Alta",'Mapa final'!$AE$89="Mayor"),CONCATENATE("R5C",'Mapa final'!$S$89),"")</f>
        <v/>
      </c>
      <c r="AC10" s="57" t="str">
        <f ca="1">IF(AND('Mapa final'!$AC$91="Muy Alta",'Mapa final'!$AE$91="Mayor"),CONCATENATE("R5C",'Mapa final'!$S$91),"")</f>
        <v/>
      </c>
      <c r="AD10" s="57" t="str">
        <f ca="1">IF(AND('Mapa final'!$AC$92="Muy Alta",'Mapa final'!$AE$92="Mayor"),CONCATENATE("R5C",'Mapa final'!$S$92),"")</f>
        <v/>
      </c>
      <c r="AE10" s="57" t="str">
        <f ca="1">IF(AND('Mapa final'!$AC$95="Muy Alta",'Mapa final'!$AE$95="Mayor"),CONCATENATE("R5C",'Mapa final'!$S$95),"")</f>
        <v/>
      </c>
      <c r="AF10" s="57" t="e">
        <f>IF(AND('Mapa final'!#REF!="Muy Alta",'Mapa final'!#REF!="Mayor"),CONCATENATE("R5C",'Mapa final'!#REF!),"")</f>
        <v>#REF!</v>
      </c>
      <c r="AG10" s="58" t="e">
        <f>IF(AND('Mapa final'!#REF!="Muy Alta",'Mapa final'!#REF!="Mayor"),CONCATENATE("R5C",'Mapa final'!#REF!),"")</f>
        <v>#REF!</v>
      </c>
      <c r="AH10" s="59" t="str">
        <f ca="1">IF(AND('Mapa final'!$AC$89="Muy Alta",'Mapa final'!$AE$89="Catastrófico"),CONCATENATE("R5C",'Mapa final'!$S$89),"")</f>
        <v/>
      </c>
      <c r="AI10" s="60" t="str">
        <f ca="1">IF(AND('Mapa final'!$AC$91="Muy Alta",'Mapa final'!$AE$91="Catastrófico"),CONCATENATE("R5C",'Mapa final'!$S$91),"")</f>
        <v/>
      </c>
      <c r="AJ10" s="60" t="str">
        <f ca="1">IF(AND('Mapa final'!$AC$92="Muy Alta",'Mapa final'!$AE$92="Catastrófico"),CONCATENATE("R5C",'Mapa final'!$S$92),"")</f>
        <v/>
      </c>
      <c r="AK10" s="60" t="str">
        <f ca="1">IF(AND('Mapa final'!$AC$95="Muy Alta",'Mapa final'!$AE$95="Catastrófico"),CONCATENATE("R5C",'Mapa final'!$S$95),"")</f>
        <v/>
      </c>
      <c r="AL10" s="60" t="e">
        <f>IF(AND('Mapa final'!#REF!="Muy Alta",'Mapa final'!#REF!="Catastrófico"),CONCATENATE("R5C",'Mapa final'!#REF!),"")</f>
        <v>#REF!</v>
      </c>
      <c r="AM10" s="61" t="e">
        <f>IF(AND('Mapa final'!#REF!="Muy Alta",'Mapa final'!#REF!="Catastrófico"),CONCATENATE("R5C",'Mapa final'!#REF!),"")</f>
        <v>#REF!</v>
      </c>
      <c r="AN10" s="87"/>
      <c r="AO10" s="800"/>
      <c r="AP10" s="801"/>
      <c r="AQ10" s="801"/>
      <c r="AR10" s="801"/>
      <c r="AS10" s="801"/>
      <c r="AT10" s="802"/>
      <c r="AU10" s="87"/>
      <c r="AV10" s="87"/>
      <c r="AW10" s="87"/>
      <c r="AX10" s="87"/>
      <c r="AY10" s="87"/>
      <c r="AZ10" s="87"/>
      <c r="BA10" s="87"/>
      <c r="BB10" s="87"/>
      <c r="BC10" s="87"/>
      <c r="BD10" s="87"/>
      <c r="BE10" s="87"/>
      <c r="BF10" s="87"/>
      <c r="BG10" s="87"/>
      <c r="BH10" s="87"/>
      <c r="BI10" s="87"/>
      <c r="BJ10" s="87"/>
      <c r="BK10" s="87"/>
      <c r="BL10" s="87"/>
      <c r="BM10" s="87"/>
      <c r="BN10" s="87"/>
      <c r="BO10" s="87"/>
      <c r="BP10" s="87"/>
      <c r="BQ10" s="87"/>
      <c r="BR10" s="87"/>
      <c r="BS10" s="87"/>
      <c r="BT10" s="87"/>
      <c r="BU10" s="87"/>
      <c r="BV10" s="87"/>
      <c r="BW10" s="87"/>
      <c r="BX10" s="87"/>
    </row>
    <row r="11" spans="1:91" ht="15" customHeight="1" x14ac:dyDescent="0.25">
      <c r="A11" s="87"/>
      <c r="B11" s="695"/>
      <c r="C11" s="695"/>
      <c r="D11" s="696"/>
      <c r="E11" s="794"/>
      <c r="F11" s="793"/>
      <c r="G11" s="793"/>
      <c r="H11" s="793"/>
      <c r="I11" s="809"/>
      <c r="J11" s="56" t="e">
        <f>IF(AND('Mapa final'!#REF!="Muy Alta",'Mapa final'!#REF!="Leve"),CONCATENATE("R6C",'Mapa final'!#REF!),"")</f>
        <v>#REF!</v>
      </c>
      <c r="K11" s="57" t="e">
        <f>IF(AND('Mapa final'!#REF!="Muy Alta",'Mapa final'!#REF!="Leve"),CONCATENATE("R6C",'Mapa final'!#REF!),"")</f>
        <v>#REF!</v>
      </c>
      <c r="L11" s="57" t="e">
        <f>IF(AND('Mapa final'!#REF!="Muy Alta",'Mapa final'!#REF!="Leve"),CONCATENATE("R6C",'Mapa final'!#REF!),"")</f>
        <v>#REF!</v>
      </c>
      <c r="M11" s="57" t="e">
        <f>IF(AND('Mapa final'!#REF!="Muy Alta",'Mapa final'!#REF!="Leve"),CONCATENATE("R6C",'Mapa final'!#REF!),"")</f>
        <v>#REF!</v>
      </c>
      <c r="N11" s="57" t="e">
        <f>IF(AND('Mapa final'!#REF!="Muy Alta",'Mapa final'!#REF!="Leve"),CONCATENATE("R6C",'Mapa final'!#REF!),"")</f>
        <v>#REF!</v>
      </c>
      <c r="O11" s="58" t="e">
        <f>IF(AND('Mapa final'!#REF!="Muy Alta",'Mapa final'!#REF!="Leve"),CONCATENATE("R6C",'Mapa final'!#REF!),"")</f>
        <v>#REF!</v>
      </c>
      <c r="P11" s="56" t="e">
        <f>IF(AND('Mapa final'!#REF!="Muy Alta",'Mapa final'!#REF!="Menor"),CONCATENATE("R6C",'Mapa final'!#REF!),"")</f>
        <v>#REF!</v>
      </c>
      <c r="Q11" s="57" t="e">
        <f>IF(AND('Mapa final'!#REF!="Muy Alta",'Mapa final'!#REF!="Menor"),CONCATENATE("R6C",'Mapa final'!#REF!),"")</f>
        <v>#REF!</v>
      </c>
      <c r="R11" s="57" t="e">
        <f>IF(AND('Mapa final'!#REF!="Muy Alta",'Mapa final'!#REF!="Menor"),CONCATENATE("R6C",'Mapa final'!#REF!),"")</f>
        <v>#REF!</v>
      </c>
      <c r="S11" s="57" t="e">
        <f>IF(AND('Mapa final'!#REF!="Muy Alta",'Mapa final'!#REF!="Menor"),CONCATENATE("R6C",'Mapa final'!#REF!),"")</f>
        <v>#REF!</v>
      </c>
      <c r="T11" s="57" t="e">
        <f>IF(AND('Mapa final'!#REF!="Muy Alta",'Mapa final'!#REF!="Menor"),CONCATENATE("R6C",'Mapa final'!#REF!),"")</f>
        <v>#REF!</v>
      </c>
      <c r="U11" s="58" t="e">
        <f>IF(AND('Mapa final'!#REF!="Muy Alta",'Mapa final'!#REF!="Menor"),CONCATENATE("R6C",'Mapa final'!#REF!),"")</f>
        <v>#REF!</v>
      </c>
      <c r="V11" s="56" t="e">
        <f>IF(AND('Mapa final'!#REF!="Muy Alta",'Mapa final'!#REF!="Moderado"),CONCATENATE("R6C",'Mapa final'!#REF!),"")</f>
        <v>#REF!</v>
      </c>
      <c r="W11" s="57" t="e">
        <f>IF(AND('Mapa final'!#REF!="Muy Alta",'Mapa final'!#REF!="Moderado"),CONCATENATE("R6C",'Mapa final'!#REF!),"")</f>
        <v>#REF!</v>
      </c>
      <c r="X11" s="57" t="e">
        <f>IF(AND('Mapa final'!#REF!="Muy Alta",'Mapa final'!#REF!="Moderado"),CONCATENATE("R6C",'Mapa final'!#REF!),"")</f>
        <v>#REF!</v>
      </c>
      <c r="Y11" s="57" t="e">
        <f>IF(AND('Mapa final'!#REF!="Muy Alta",'Mapa final'!#REF!="Moderado"),CONCATENATE("R6C",'Mapa final'!#REF!),"")</f>
        <v>#REF!</v>
      </c>
      <c r="Z11" s="57" t="e">
        <f>IF(AND('Mapa final'!#REF!="Muy Alta",'Mapa final'!#REF!="Moderado"),CONCATENATE("R6C",'Mapa final'!#REF!),"")</f>
        <v>#REF!</v>
      </c>
      <c r="AA11" s="58" t="e">
        <f>IF(AND('Mapa final'!#REF!="Muy Alta",'Mapa final'!#REF!="Moderado"),CONCATENATE("R6C",'Mapa final'!#REF!),"")</f>
        <v>#REF!</v>
      </c>
      <c r="AB11" s="56" t="e">
        <f>IF(AND('Mapa final'!#REF!="Muy Alta",'Mapa final'!#REF!="Mayor"),CONCATENATE("R6C",'Mapa final'!#REF!),"")</f>
        <v>#REF!</v>
      </c>
      <c r="AC11" s="57" t="e">
        <f>IF(AND('Mapa final'!#REF!="Muy Alta",'Mapa final'!#REF!="Mayor"),CONCATENATE("R6C",'Mapa final'!#REF!),"")</f>
        <v>#REF!</v>
      </c>
      <c r="AD11" s="57" t="e">
        <f>IF(AND('Mapa final'!#REF!="Muy Alta",'Mapa final'!#REF!="Mayor"),CONCATENATE("R6C",'Mapa final'!#REF!),"")</f>
        <v>#REF!</v>
      </c>
      <c r="AE11" s="57" t="e">
        <f>IF(AND('Mapa final'!#REF!="Muy Alta",'Mapa final'!#REF!="Mayor"),CONCATENATE("R6C",'Mapa final'!#REF!),"")</f>
        <v>#REF!</v>
      </c>
      <c r="AF11" s="57" t="e">
        <f>IF(AND('Mapa final'!#REF!="Muy Alta",'Mapa final'!#REF!="Mayor"),CONCATENATE("R6C",'Mapa final'!#REF!),"")</f>
        <v>#REF!</v>
      </c>
      <c r="AG11" s="58" t="e">
        <f>IF(AND('Mapa final'!#REF!="Muy Alta",'Mapa final'!#REF!="Mayor"),CONCATENATE("R6C",'Mapa final'!#REF!),"")</f>
        <v>#REF!</v>
      </c>
      <c r="AH11" s="59" t="e">
        <f>IF(AND('Mapa final'!#REF!="Muy Alta",'Mapa final'!#REF!="Catastrófico"),CONCATENATE("R6C",'Mapa final'!#REF!),"")</f>
        <v>#REF!</v>
      </c>
      <c r="AI11" s="60" t="e">
        <f>IF(AND('Mapa final'!#REF!="Muy Alta",'Mapa final'!#REF!="Catastrófico"),CONCATENATE("R6C",'Mapa final'!#REF!),"")</f>
        <v>#REF!</v>
      </c>
      <c r="AJ11" s="60" t="e">
        <f>IF(AND('Mapa final'!#REF!="Muy Alta",'Mapa final'!#REF!="Catastrófico"),CONCATENATE("R6C",'Mapa final'!#REF!),"")</f>
        <v>#REF!</v>
      </c>
      <c r="AK11" s="60" t="e">
        <f>IF(AND('Mapa final'!#REF!="Muy Alta",'Mapa final'!#REF!="Catastrófico"),CONCATENATE("R6C",'Mapa final'!#REF!),"")</f>
        <v>#REF!</v>
      </c>
      <c r="AL11" s="60" t="e">
        <f>IF(AND('Mapa final'!#REF!="Muy Alta",'Mapa final'!#REF!="Catastrófico"),CONCATENATE("R6C",'Mapa final'!#REF!),"")</f>
        <v>#REF!</v>
      </c>
      <c r="AM11" s="61" t="e">
        <f>IF(AND('Mapa final'!#REF!="Muy Alta",'Mapa final'!#REF!="Catastrófico"),CONCATENATE("R6C",'Mapa final'!#REF!),"")</f>
        <v>#REF!</v>
      </c>
      <c r="AN11" s="87"/>
      <c r="AO11" s="800"/>
      <c r="AP11" s="801"/>
      <c r="AQ11" s="801"/>
      <c r="AR11" s="801"/>
      <c r="AS11" s="801"/>
      <c r="AT11" s="802"/>
      <c r="AU11" s="87"/>
      <c r="AV11" s="87"/>
      <c r="AW11" s="87"/>
      <c r="AX11" s="87"/>
      <c r="AY11" s="87"/>
      <c r="AZ11" s="87"/>
      <c r="BA11" s="87"/>
      <c r="BB11" s="87"/>
      <c r="BC11" s="87"/>
      <c r="BD11" s="87"/>
      <c r="BE11" s="87"/>
      <c r="BF11" s="87"/>
      <c r="BG11" s="87"/>
      <c r="BH11" s="87"/>
      <c r="BI11" s="87"/>
      <c r="BJ11" s="87"/>
      <c r="BK11" s="87"/>
      <c r="BL11" s="87"/>
      <c r="BM11" s="87"/>
      <c r="BN11" s="87"/>
      <c r="BO11" s="87"/>
      <c r="BP11" s="87"/>
      <c r="BQ11" s="87"/>
      <c r="BR11" s="87"/>
      <c r="BS11" s="87"/>
      <c r="BT11" s="87"/>
      <c r="BU11" s="87"/>
      <c r="BV11" s="87"/>
      <c r="BW11" s="87"/>
      <c r="BX11" s="87"/>
    </row>
    <row r="12" spans="1:91" ht="15" customHeight="1" x14ac:dyDescent="0.25">
      <c r="A12" s="87"/>
      <c r="B12" s="695"/>
      <c r="C12" s="695"/>
      <c r="D12" s="696"/>
      <c r="E12" s="794"/>
      <c r="F12" s="793"/>
      <c r="G12" s="793"/>
      <c r="H12" s="793"/>
      <c r="I12" s="809"/>
      <c r="J12" s="56" t="e">
        <f>IF(AND('Mapa final'!#REF!="Muy Alta",'Mapa final'!#REF!="Leve"),CONCATENATE("R7C",'Mapa final'!#REF!),"")</f>
        <v>#REF!</v>
      </c>
      <c r="K12" s="57" t="e">
        <f>IF(AND('Mapa final'!#REF!="Muy Alta",'Mapa final'!#REF!="Leve"),CONCATENATE("R7C",'Mapa final'!#REF!),"")</f>
        <v>#REF!</v>
      </c>
      <c r="L12" s="57" t="e">
        <f>IF(AND('Mapa final'!#REF!="Muy Alta",'Mapa final'!#REF!="Leve"),CONCATENATE("R7C",'Mapa final'!#REF!),"")</f>
        <v>#REF!</v>
      </c>
      <c r="M12" s="57" t="e">
        <f>IF(AND('Mapa final'!#REF!="Muy Alta",'Mapa final'!#REF!="Leve"),CONCATENATE("R7C",'Mapa final'!#REF!),"")</f>
        <v>#REF!</v>
      </c>
      <c r="N12" s="57" t="e">
        <f>IF(AND('Mapa final'!#REF!="Muy Alta",'Mapa final'!#REF!="Leve"),CONCATENATE("R7C",'Mapa final'!#REF!),"")</f>
        <v>#REF!</v>
      </c>
      <c r="O12" s="58" t="e">
        <f>IF(AND('Mapa final'!#REF!="Muy Alta",'Mapa final'!#REF!="Leve"),CONCATENATE("R7C",'Mapa final'!#REF!),"")</f>
        <v>#REF!</v>
      </c>
      <c r="P12" s="56" t="e">
        <f>IF(AND('Mapa final'!#REF!="Muy Alta",'Mapa final'!#REF!="Menor"),CONCATENATE("R7C",'Mapa final'!#REF!),"")</f>
        <v>#REF!</v>
      </c>
      <c r="Q12" s="57" t="e">
        <f>IF(AND('Mapa final'!#REF!="Muy Alta",'Mapa final'!#REF!="Menor"),CONCATENATE("R7C",'Mapa final'!#REF!),"")</f>
        <v>#REF!</v>
      </c>
      <c r="R12" s="57" t="e">
        <f>IF(AND('Mapa final'!#REF!="Muy Alta",'Mapa final'!#REF!="Menor"),CONCATENATE("R7C",'Mapa final'!#REF!),"")</f>
        <v>#REF!</v>
      </c>
      <c r="S12" s="57" t="e">
        <f>IF(AND('Mapa final'!#REF!="Muy Alta",'Mapa final'!#REF!="Menor"),CONCATENATE("R7C",'Mapa final'!#REF!),"")</f>
        <v>#REF!</v>
      </c>
      <c r="T12" s="57" t="e">
        <f>IF(AND('Mapa final'!#REF!="Muy Alta",'Mapa final'!#REF!="Menor"),CONCATENATE("R7C",'Mapa final'!#REF!),"")</f>
        <v>#REF!</v>
      </c>
      <c r="U12" s="58" t="e">
        <f>IF(AND('Mapa final'!#REF!="Muy Alta",'Mapa final'!#REF!="Menor"),CONCATENATE("R7C",'Mapa final'!#REF!),"")</f>
        <v>#REF!</v>
      </c>
      <c r="V12" s="56" t="e">
        <f>IF(AND('Mapa final'!#REF!="Muy Alta",'Mapa final'!#REF!="Moderado"),CONCATENATE("R7C",'Mapa final'!#REF!),"")</f>
        <v>#REF!</v>
      </c>
      <c r="W12" s="57" t="e">
        <f>IF(AND('Mapa final'!#REF!="Muy Alta",'Mapa final'!#REF!="Moderado"),CONCATENATE("R7C",'Mapa final'!#REF!),"")</f>
        <v>#REF!</v>
      </c>
      <c r="X12" s="57" t="e">
        <f>IF(AND('Mapa final'!#REF!="Muy Alta",'Mapa final'!#REF!="Moderado"),CONCATENATE("R7C",'Mapa final'!#REF!),"")</f>
        <v>#REF!</v>
      </c>
      <c r="Y12" s="57" t="e">
        <f>IF(AND('Mapa final'!#REF!="Muy Alta",'Mapa final'!#REF!="Moderado"),CONCATENATE("R7C",'Mapa final'!#REF!),"")</f>
        <v>#REF!</v>
      </c>
      <c r="Z12" s="57" t="e">
        <f>IF(AND('Mapa final'!#REF!="Muy Alta",'Mapa final'!#REF!="Moderado"),CONCATENATE("R7C",'Mapa final'!#REF!),"")</f>
        <v>#REF!</v>
      </c>
      <c r="AA12" s="58" t="e">
        <f>IF(AND('Mapa final'!#REF!="Muy Alta",'Mapa final'!#REF!="Moderado"),CONCATENATE("R7C",'Mapa final'!#REF!),"")</f>
        <v>#REF!</v>
      </c>
      <c r="AB12" s="56" t="e">
        <f>IF(AND('Mapa final'!#REF!="Muy Alta",'Mapa final'!#REF!="Mayor"),CONCATENATE("R7C",'Mapa final'!#REF!),"")</f>
        <v>#REF!</v>
      </c>
      <c r="AC12" s="57" t="e">
        <f>IF(AND('Mapa final'!#REF!="Muy Alta",'Mapa final'!#REF!="Mayor"),CONCATENATE("R7C",'Mapa final'!#REF!),"")</f>
        <v>#REF!</v>
      </c>
      <c r="AD12" s="57" t="e">
        <f>IF(AND('Mapa final'!#REF!="Muy Alta",'Mapa final'!#REF!="Mayor"),CONCATENATE("R7C",'Mapa final'!#REF!),"")</f>
        <v>#REF!</v>
      </c>
      <c r="AE12" s="57" t="e">
        <f>IF(AND('Mapa final'!#REF!="Muy Alta",'Mapa final'!#REF!="Mayor"),CONCATENATE("R7C",'Mapa final'!#REF!),"")</f>
        <v>#REF!</v>
      </c>
      <c r="AF12" s="57" t="e">
        <f>IF(AND('Mapa final'!#REF!="Muy Alta",'Mapa final'!#REF!="Mayor"),CONCATENATE("R7C",'Mapa final'!#REF!),"")</f>
        <v>#REF!</v>
      </c>
      <c r="AG12" s="58" t="e">
        <f>IF(AND('Mapa final'!#REF!="Muy Alta",'Mapa final'!#REF!="Mayor"),CONCATENATE("R7C",'Mapa final'!#REF!),"")</f>
        <v>#REF!</v>
      </c>
      <c r="AH12" s="59" t="e">
        <f>IF(AND('Mapa final'!#REF!="Muy Alta",'Mapa final'!#REF!="Catastrófico"),CONCATENATE("R7C",'Mapa final'!#REF!),"")</f>
        <v>#REF!</v>
      </c>
      <c r="AI12" s="60" t="e">
        <f>IF(AND('Mapa final'!#REF!="Muy Alta",'Mapa final'!#REF!="Catastrófico"),CONCATENATE("R7C",'Mapa final'!#REF!),"")</f>
        <v>#REF!</v>
      </c>
      <c r="AJ12" s="60" t="e">
        <f>IF(AND('Mapa final'!#REF!="Muy Alta",'Mapa final'!#REF!="Catastrófico"),CONCATENATE("R7C",'Mapa final'!#REF!),"")</f>
        <v>#REF!</v>
      </c>
      <c r="AK12" s="60" t="e">
        <f>IF(AND('Mapa final'!#REF!="Muy Alta",'Mapa final'!#REF!="Catastrófico"),CONCATENATE("R7C",'Mapa final'!#REF!),"")</f>
        <v>#REF!</v>
      </c>
      <c r="AL12" s="60" t="e">
        <f>IF(AND('Mapa final'!#REF!="Muy Alta",'Mapa final'!#REF!="Catastrófico"),CONCATENATE("R7C",'Mapa final'!#REF!),"")</f>
        <v>#REF!</v>
      </c>
      <c r="AM12" s="61" t="e">
        <f>IF(AND('Mapa final'!#REF!="Muy Alta",'Mapa final'!#REF!="Catastrófico"),CONCATENATE("R7C",'Mapa final'!#REF!),"")</f>
        <v>#REF!</v>
      </c>
      <c r="AN12" s="87"/>
      <c r="AO12" s="800"/>
      <c r="AP12" s="801"/>
      <c r="AQ12" s="801"/>
      <c r="AR12" s="801"/>
      <c r="AS12" s="801"/>
      <c r="AT12" s="802"/>
      <c r="AU12" s="87"/>
      <c r="AV12" s="87"/>
      <c r="AW12" s="87"/>
      <c r="AX12" s="87"/>
      <c r="AY12" s="87"/>
      <c r="AZ12" s="87"/>
      <c r="BA12" s="87"/>
      <c r="BB12" s="87"/>
      <c r="BC12" s="87"/>
      <c r="BD12" s="87"/>
      <c r="BE12" s="87"/>
      <c r="BF12" s="87"/>
      <c r="BG12" s="87"/>
      <c r="BH12" s="87"/>
      <c r="BI12" s="87"/>
      <c r="BJ12" s="87"/>
      <c r="BK12" s="87"/>
      <c r="BL12" s="87"/>
      <c r="BM12" s="87"/>
      <c r="BN12" s="87"/>
      <c r="BO12" s="87"/>
      <c r="BP12" s="87"/>
      <c r="BQ12" s="87"/>
      <c r="BR12" s="87"/>
      <c r="BS12" s="87"/>
      <c r="BT12" s="87"/>
      <c r="BU12" s="87"/>
      <c r="BV12" s="87"/>
      <c r="BW12" s="87"/>
      <c r="BX12" s="87"/>
    </row>
    <row r="13" spans="1:91" ht="15" customHeight="1" x14ac:dyDescent="0.25">
      <c r="A13" s="87"/>
      <c r="B13" s="695"/>
      <c r="C13" s="695"/>
      <c r="D13" s="696"/>
      <c r="E13" s="794"/>
      <c r="F13" s="793"/>
      <c r="G13" s="793"/>
      <c r="H13" s="793"/>
      <c r="I13" s="809"/>
      <c r="J13" s="56" t="e">
        <f>IF(AND('Mapa final'!#REF!="Muy Alta",'Mapa final'!#REF!="Leve"),CONCATENATE("R8C",'Mapa final'!#REF!),"")</f>
        <v>#REF!</v>
      </c>
      <c r="K13" s="57" t="e">
        <f>IF(AND('Mapa final'!#REF!="Muy Alta",'Mapa final'!#REF!="Leve"),CONCATENATE("R8C",'Mapa final'!#REF!),"")</f>
        <v>#REF!</v>
      </c>
      <c r="L13" s="57" t="e">
        <f>IF(AND('Mapa final'!#REF!="Muy Alta",'Mapa final'!#REF!="Leve"),CONCATENATE("R8C",'Mapa final'!#REF!),"")</f>
        <v>#REF!</v>
      </c>
      <c r="M13" s="57" t="e">
        <f>IF(AND('Mapa final'!#REF!="Muy Alta",'Mapa final'!#REF!="Leve"),CONCATENATE("R8C",'Mapa final'!#REF!),"")</f>
        <v>#REF!</v>
      </c>
      <c r="N13" s="57" t="e">
        <f>IF(AND('Mapa final'!#REF!="Muy Alta",'Mapa final'!#REF!="Leve"),CONCATENATE("R8C",'Mapa final'!#REF!),"")</f>
        <v>#REF!</v>
      </c>
      <c r="O13" s="58" t="e">
        <f>IF(AND('Mapa final'!#REF!="Muy Alta",'Mapa final'!#REF!="Leve"),CONCATENATE("R8C",'Mapa final'!#REF!),"")</f>
        <v>#REF!</v>
      </c>
      <c r="P13" s="56" t="e">
        <f>IF(AND('Mapa final'!#REF!="Muy Alta",'Mapa final'!#REF!="Menor"),CONCATENATE("R8C",'Mapa final'!#REF!),"")</f>
        <v>#REF!</v>
      </c>
      <c r="Q13" s="57" t="e">
        <f>IF(AND('Mapa final'!#REF!="Muy Alta",'Mapa final'!#REF!="Menor"),CONCATENATE("R8C",'Mapa final'!#REF!),"")</f>
        <v>#REF!</v>
      </c>
      <c r="R13" s="57" t="e">
        <f>IF(AND('Mapa final'!#REF!="Muy Alta",'Mapa final'!#REF!="Menor"),CONCATENATE("R8C",'Mapa final'!#REF!),"")</f>
        <v>#REF!</v>
      </c>
      <c r="S13" s="57" t="e">
        <f>IF(AND('Mapa final'!#REF!="Muy Alta",'Mapa final'!#REF!="Menor"),CONCATENATE("R8C",'Mapa final'!#REF!),"")</f>
        <v>#REF!</v>
      </c>
      <c r="T13" s="57" t="e">
        <f>IF(AND('Mapa final'!#REF!="Muy Alta",'Mapa final'!#REF!="Menor"),CONCATENATE("R8C",'Mapa final'!#REF!),"")</f>
        <v>#REF!</v>
      </c>
      <c r="U13" s="58" t="e">
        <f>IF(AND('Mapa final'!#REF!="Muy Alta",'Mapa final'!#REF!="Menor"),CONCATENATE("R8C",'Mapa final'!#REF!),"")</f>
        <v>#REF!</v>
      </c>
      <c r="V13" s="56" t="e">
        <f>IF(AND('Mapa final'!#REF!="Muy Alta",'Mapa final'!#REF!="Moderado"),CONCATENATE("R8C",'Mapa final'!#REF!),"")</f>
        <v>#REF!</v>
      </c>
      <c r="W13" s="57" t="e">
        <f>IF(AND('Mapa final'!#REF!="Muy Alta",'Mapa final'!#REF!="Moderado"),CONCATENATE("R8C",'Mapa final'!#REF!),"")</f>
        <v>#REF!</v>
      </c>
      <c r="X13" s="57" t="e">
        <f>IF(AND('Mapa final'!#REF!="Muy Alta",'Mapa final'!#REF!="Moderado"),CONCATENATE("R8C",'Mapa final'!#REF!),"")</f>
        <v>#REF!</v>
      </c>
      <c r="Y13" s="57" t="e">
        <f>IF(AND('Mapa final'!#REF!="Muy Alta",'Mapa final'!#REF!="Moderado"),CONCATENATE("R8C",'Mapa final'!#REF!),"")</f>
        <v>#REF!</v>
      </c>
      <c r="Z13" s="57" t="e">
        <f>IF(AND('Mapa final'!#REF!="Muy Alta",'Mapa final'!#REF!="Moderado"),CONCATENATE("R8C",'Mapa final'!#REF!),"")</f>
        <v>#REF!</v>
      </c>
      <c r="AA13" s="58" t="e">
        <f>IF(AND('Mapa final'!#REF!="Muy Alta",'Mapa final'!#REF!="Moderado"),CONCATENATE("R8C",'Mapa final'!#REF!),"")</f>
        <v>#REF!</v>
      </c>
      <c r="AB13" s="56" t="e">
        <f>IF(AND('Mapa final'!#REF!="Muy Alta",'Mapa final'!#REF!="Mayor"),CONCATENATE("R8C",'Mapa final'!#REF!),"")</f>
        <v>#REF!</v>
      </c>
      <c r="AC13" s="57" t="e">
        <f>IF(AND('Mapa final'!#REF!="Muy Alta",'Mapa final'!#REF!="Mayor"),CONCATENATE("R8C",'Mapa final'!#REF!),"")</f>
        <v>#REF!</v>
      </c>
      <c r="AD13" s="57" t="e">
        <f>IF(AND('Mapa final'!#REF!="Muy Alta",'Mapa final'!#REF!="Mayor"),CONCATENATE("R8C",'Mapa final'!#REF!),"")</f>
        <v>#REF!</v>
      </c>
      <c r="AE13" s="57" t="e">
        <f>IF(AND('Mapa final'!#REF!="Muy Alta",'Mapa final'!#REF!="Mayor"),CONCATENATE("R8C",'Mapa final'!#REF!),"")</f>
        <v>#REF!</v>
      </c>
      <c r="AF13" s="57" t="e">
        <f>IF(AND('Mapa final'!#REF!="Muy Alta",'Mapa final'!#REF!="Mayor"),CONCATENATE("R8C",'Mapa final'!#REF!),"")</f>
        <v>#REF!</v>
      </c>
      <c r="AG13" s="58" t="e">
        <f>IF(AND('Mapa final'!#REF!="Muy Alta",'Mapa final'!#REF!="Mayor"),CONCATENATE("R8C",'Mapa final'!#REF!),"")</f>
        <v>#REF!</v>
      </c>
      <c r="AH13" s="59" t="e">
        <f>IF(AND('Mapa final'!#REF!="Muy Alta",'Mapa final'!#REF!="Catastrófico"),CONCATENATE("R8C",'Mapa final'!#REF!),"")</f>
        <v>#REF!</v>
      </c>
      <c r="AI13" s="60" t="e">
        <f>IF(AND('Mapa final'!#REF!="Muy Alta",'Mapa final'!#REF!="Catastrófico"),CONCATENATE("R8C",'Mapa final'!#REF!),"")</f>
        <v>#REF!</v>
      </c>
      <c r="AJ13" s="60" t="e">
        <f>IF(AND('Mapa final'!#REF!="Muy Alta",'Mapa final'!#REF!="Catastrófico"),CONCATENATE("R8C",'Mapa final'!#REF!),"")</f>
        <v>#REF!</v>
      </c>
      <c r="AK13" s="60" t="e">
        <f>IF(AND('Mapa final'!#REF!="Muy Alta",'Mapa final'!#REF!="Catastrófico"),CONCATENATE("R8C",'Mapa final'!#REF!),"")</f>
        <v>#REF!</v>
      </c>
      <c r="AL13" s="60" t="e">
        <f>IF(AND('Mapa final'!#REF!="Muy Alta",'Mapa final'!#REF!="Catastrófico"),CONCATENATE("R8C",'Mapa final'!#REF!),"")</f>
        <v>#REF!</v>
      </c>
      <c r="AM13" s="61" t="e">
        <f>IF(AND('Mapa final'!#REF!="Muy Alta",'Mapa final'!#REF!="Catastrófico"),CONCATENATE("R8C",'Mapa final'!#REF!),"")</f>
        <v>#REF!</v>
      </c>
      <c r="AN13" s="87"/>
      <c r="AO13" s="800"/>
      <c r="AP13" s="801"/>
      <c r="AQ13" s="801"/>
      <c r="AR13" s="801"/>
      <c r="AS13" s="801"/>
      <c r="AT13" s="802"/>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c r="BS13" s="87"/>
      <c r="BT13" s="87"/>
      <c r="BU13" s="87"/>
      <c r="BV13" s="87"/>
      <c r="BW13" s="87"/>
      <c r="BX13" s="87"/>
    </row>
    <row r="14" spans="1:91" ht="15" customHeight="1" x14ac:dyDescent="0.25">
      <c r="A14" s="87"/>
      <c r="B14" s="695"/>
      <c r="C14" s="695"/>
      <c r="D14" s="696"/>
      <c r="E14" s="794"/>
      <c r="F14" s="793"/>
      <c r="G14" s="793"/>
      <c r="H14" s="793"/>
      <c r="I14" s="809"/>
      <c r="J14" s="56" t="e">
        <f>IF(AND('Mapa final'!#REF!="Muy Alta",'Mapa final'!#REF!="Leve"),CONCATENATE("R9C",'Mapa final'!#REF!),"")</f>
        <v>#REF!</v>
      </c>
      <c r="K14" s="57" t="e">
        <f>IF(AND('Mapa final'!#REF!="Muy Alta",'Mapa final'!#REF!="Leve"),CONCATENATE("R9C",'Mapa final'!#REF!),"")</f>
        <v>#REF!</v>
      </c>
      <c r="L14" s="57" t="e">
        <f>IF(AND('Mapa final'!#REF!="Muy Alta",'Mapa final'!#REF!="Leve"),CONCATENATE("R9C",'Mapa final'!#REF!),"")</f>
        <v>#REF!</v>
      </c>
      <c r="M14" s="57" t="e">
        <f>IF(AND('Mapa final'!#REF!="Muy Alta",'Mapa final'!#REF!="Leve"),CONCATENATE("R9C",'Mapa final'!#REF!),"")</f>
        <v>#REF!</v>
      </c>
      <c r="N14" s="57" t="e">
        <f>IF(AND('Mapa final'!#REF!="Muy Alta",'Mapa final'!#REF!="Leve"),CONCATENATE("R9C",'Mapa final'!#REF!),"")</f>
        <v>#REF!</v>
      </c>
      <c r="O14" s="58" t="e">
        <f>IF(AND('Mapa final'!#REF!="Muy Alta",'Mapa final'!#REF!="Leve"),CONCATENATE("R9C",'Mapa final'!#REF!),"")</f>
        <v>#REF!</v>
      </c>
      <c r="P14" s="56" t="e">
        <f>IF(AND('Mapa final'!#REF!="Muy Alta",'Mapa final'!#REF!="Menor"),CONCATENATE("R9C",'Mapa final'!#REF!),"")</f>
        <v>#REF!</v>
      </c>
      <c r="Q14" s="57" t="e">
        <f>IF(AND('Mapa final'!#REF!="Muy Alta",'Mapa final'!#REF!="Menor"),CONCATENATE("R9C",'Mapa final'!#REF!),"")</f>
        <v>#REF!</v>
      </c>
      <c r="R14" s="57" t="e">
        <f>IF(AND('Mapa final'!#REF!="Muy Alta",'Mapa final'!#REF!="Menor"),CONCATENATE("R9C",'Mapa final'!#REF!),"")</f>
        <v>#REF!</v>
      </c>
      <c r="S14" s="57" t="e">
        <f>IF(AND('Mapa final'!#REF!="Muy Alta",'Mapa final'!#REF!="Menor"),CONCATENATE("R9C",'Mapa final'!#REF!),"")</f>
        <v>#REF!</v>
      </c>
      <c r="T14" s="57" t="e">
        <f>IF(AND('Mapa final'!#REF!="Muy Alta",'Mapa final'!#REF!="Menor"),CONCATENATE("R9C",'Mapa final'!#REF!),"")</f>
        <v>#REF!</v>
      </c>
      <c r="U14" s="58" t="e">
        <f>IF(AND('Mapa final'!#REF!="Muy Alta",'Mapa final'!#REF!="Menor"),CONCATENATE("R9C",'Mapa final'!#REF!),"")</f>
        <v>#REF!</v>
      </c>
      <c r="V14" s="56" t="e">
        <f>IF(AND('Mapa final'!#REF!="Muy Alta",'Mapa final'!#REF!="Moderado"),CONCATENATE("R9C",'Mapa final'!#REF!),"")</f>
        <v>#REF!</v>
      </c>
      <c r="W14" s="57" t="e">
        <f>IF(AND('Mapa final'!#REF!="Muy Alta",'Mapa final'!#REF!="Moderado"),CONCATENATE("R9C",'Mapa final'!#REF!),"")</f>
        <v>#REF!</v>
      </c>
      <c r="X14" s="57" t="e">
        <f>IF(AND('Mapa final'!#REF!="Muy Alta",'Mapa final'!#REF!="Moderado"),CONCATENATE("R9C",'Mapa final'!#REF!),"")</f>
        <v>#REF!</v>
      </c>
      <c r="Y14" s="57" t="e">
        <f>IF(AND('Mapa final'!#REF!="Muy Alta",'Mapa final'!#REF!="Moderado"),CONCATENATE("R9C",'Mapa final'!#REF!),"")</f>
        <v>#REF!</v>
      </c>
      <c r="Z14" s="57" t="e">
        <f>IF(AND('Mapa final'!#REF!="Muy Alta",'Mapa final'!#REF!="Moderado"),CONCATENATE("R9C",'Mapa final'!#REF!),"")</f>
        <v>#REF!</v>
      </c>
      <c r="AA14" s="58" t="e">
        <f>IF(AND('Mapa final'!#REF!="Muy Alta",'Mapa final'!#REF!="Moderado"),CONCATENATE("R9C",'Mapa final'!#REF!),"")</f>
        <v>#REF!</v>
      </c>
      <c r="AB14" s="56" t="e">
        <f>IF(AND('Mapa final'!#REF!="Muy Alta",'Mapa final'!#REF!="Mayor"),CONCATENATE("R9C",'Mapa final'!#REF!),"")</f>
        <v>#REF!</v>
      </c>
      <c r="AC14" s="57" t="e">
        <f>IF(AND('Mapa final'!#REF!="Muy Alta",'Mapa final'!#REF!="Mayor"),CONCATENATE("R9C",'Mapa final'!#REF!),"")</f>
        <v>#REF!</v>
      </c>
      <c r="AD14" s="57" t="e">
        <f>IF(AND('Mapa final'!#REF!="Muy Alta",'Mapa final'!#REF!="Mayor"),CONCATENATE("R9C",'Mapa final'!#REF!),"")</f>
        <v>#REF!</v>
      </c>
      <c r="AE14" s="57" t="e">
        <f>IF(AND('Mapa final'!#REF!="Muy Alta",'Mapa final'!#REF!="Mayor"),CONCATENATE("R9C",'Mapa final'!#REF!),"")</f>
        <v>#REF!</v>
      </c>
      <c r="AF14" s="57" t="e">
        <f>IF(AND('Mapa final'!#REF!="Muy Alta",'Mapa final'!#REF!="Mayor"),CONCATENATE("R9C",'Mapa final'!#REF!),"")</f>
        <v>#REF!</v>
      </c>
      <c r="AG14" s="58" t="e">
        <f>IF(AND('Mapa final'!#REF!="Muy Alta",'Mapa final'!#REF!="Mayor"),CONCATENATE("R9C",'Mapa final'!#REF!),"")</f>
        <v>#REF!</v>
      </c>
      <c r="AH14" s="59" t="e">
        <f>IF(AND('Mapa final'!#REF!="Muy Alta",'Mapa final'!#REF!="Catastrófico"),CONCATENATE("R9C",'Mapa final'!#REF!),"")</f>
        <v>#REF!</v>
      </c>
      <c r="AI14" s="60" t="e">
        <f>IF(AND('Mapa final'!#REF!="Muy Alta",'Mapa final'!#REF!="Catastrófico"),CONCATENATE("R9C",'Mapa final'!#REF!),"")</f>
        <v>#REF!</v>
      </c>
      <c r="AJ14" s="60" t="e">
        <f>IF(AND('Mapa final'!#REF!="Muy Alta",'Mapa final'!#REF!="Catastrófico"),CONCATENATE("R9C",'Mapa final'!#REF!),"")</f>
        <v>#REF!</v>
      </c>
      <c r="AK14" s="60" t="e">
        <f>IF(AND('Mapa final'!#REF!="Muy Alta",'Mapa final'!#REF!="Catastrófico"),CONCATENATE("R9C",'Mapa final'!#REF!),"")</f>
        <v>#REF!</v>
      </c>
      <c r="AL14" s="60" t="e">
        <f>IF(AND('Mapa final'!#REF!="Muy Alta",'Mapa final'!#REF!="Catastrófico"),CONCATENATE("R9C",'Mapa final'!#REF!),"")</f>
        <v>#REF!</v>
      </c>
      <c r="AM14" s="61" t="e">
        <f>IF(AND('Mapa final'!#REF!="Muy Alta",'Mapa final'!#REF!="Catastrófico"),CONCATENATE("R9C",'Mapa final'!#REF!),"")</f>
        <v>#REF!</v>
      </c>
      <c r="AN14" s="87"/>
      <c r="AO14" s="800"/>
      <c r="AP14" s="801"/>
      <c r="AQ14" s="801"/>
      <c r="AR14" s="801"/>
      <c r="AS14" s="801"/>
      <c r="AT14" s="802"/>
      <c r="AU14" s="87"/>
      <c r="AV14" s="87"/>
      <c r="AW14" s="87"/>
      <c r="AX14" s="87"/>
      <c r="AY14" s="87"/>
      <c r="AZ14" s="87"/>
      <c r="BA14" s="87"/>
      <c r="BB14" s="87"/>
      <c r="BC14" s="87"/>
      <c r="BD14" s="87"/>
      <c r="BE14" s="87"/>
      <c r="BF14" s="87"/>
      <c r="BG14" s="87"/>
      <c r="BH14" s="87"/>
      <c r="BI14" s="87"/>
      <c r="BJ14" s="87"/>
      <c r="BK14" s="87"/>
      <c r="BL14" s="87"/>
      <c r="BM14" s="87"/>
      <c r="BN14" s="87"/>
      <c r="BO14" s="87"/>
      <c r="BP14" s="87"/>
      <c r="BQ14" s="87"/>
      <c r="BR14" s="87"/>
      <c r="BS14" s="87"/>
      <c r="BT14" s="87"/>
      <c r="BU14" s="87"/>
      <c r="BV14" s="87"/>
      <c r="BW14" s="87"/>
      <c r="BX14" s="87"/>
    </row>
    <row r="15" spans="1:91" ht="15.75" customHeight="1" thickBot="1" x14ac:dyDescent="0.3">
      <c r="A15" s="87"/>
      <c r="B15" s="695"/>
      <c r="C15" s="695"/>
      <c r="D15" s="696"/>
      <c r="E15" s="795"/>
      <c r="F15" s="796"/>
      <c r="G15" s="796"/>
      <c r="H15" s="796"/>
      <c r="I15" s="810"/>
      <c r="J15" s="62" t="e">
        <f>IF(AND('Mapa final'!#REF!="Muy Alta",'Mapa final'!#REF!="Leve"),CONCATENATE("R10C",'Mapa final'!#REF!),"")</f>
        <v>#REF!</v>
      </c>
      <c r="K15" s="63" t="e">
        <f>IF(AND('Mapa final'!#REF!="Muy Alta",'Mapa final'!#REF!="Leve"),CONCATENATE("R10C",'Mapa final'!#REF!),"")</f>
        <v>#REF!</v>
      </c>
      <c r="L15" s="63" t="e">
        <f>IF(AND('Mapa final'!#REF!="Muy Alta",'Mapa final'!#REF!="Leve"),CONCATENATE("R10C",'Mapa final'!#REF!),"")</f>
        <v>#REF!</v>
      </c>
      <c r="M15" s="63" t="e">
        <f>IF(AND('Mapa final'!#REF!="Muy Alta",'Mapa final'!#REF!="Leve"),CONCATENATE("R10C",'Mapa final'!#REF!),"")</f>
        <v>#REF!</v>
      </c>
      <c r="N15" s="63" t="e">
        <f>IF(AND('Mapa final'!#REF!="Muy Alta",'Mapa final'!#REF!="Leve"),CONCATENATE("R10C",'Mapa final'!#REF!),"")</f>
        <v>#REF!</v>
      </c>
      <c r="O15" s="64" t="e">
        <f>IF(AND('Mapa final'!#REF!="Muy Alta",'Mapa final'!#REF!="Leve"),CONCATENATE("R10C",'Mapa final'!#REF!),"")</f>
        <v>#REF!</v>
      </c>
      <c r="P15" s="56" t="e">
        <f>IF(AND('Mapa final'!#REF!="Muy Alta",'Mapa final'!#REF!="Menor"),CONCATENATE("R10C",'Mapa final'!#REF!),"")</f>
        <v>#REF!</v>
      </c>
      <c r="Q15" s="57" t="e">
        <f>IF(AND('Mapa final'!#REF!="Muy Alta",'Mapa final'!#REF!="Menor"),CONCATENATE("R10C",'Mapa final'!#REF!),"")</f>
        <v>#REF!</v>
      </c>
      <c r="R15" s="57" t="e">
        <f>IF(AND('Mapa final'!#REF!="Muy Alta",'Mapa final'!#REF!="Menor"),CONCATENATE("R10C",'Mapa final'!#REF!),"")</f>
        <v>#REF!</v>
      </c>
      <c r="S15" s="57" t="e">
        <f>IF(AND('Mapa final'!#REF!="Muy Alta",'Mapa final'!#REF!="Menor"),CONCATENATE("R10C",'Mapa final'!#REF!),"")</f>
        <v>#REF!</v>
      </c>
      <c r="T15" s="57" t="e">
        <f>IF(AND('Mapa final'!#REF!="Muy Alta",'Mapa final'!#REF!="Menor"),CONCATENATE("R10C",'Mapa final'!#REF!),"")</f>
        <v>#REF!</v>
      </c>
      <c r="U15" s="58" t="e">
        <f>IF(AND('Mapa final'!#REF!="Muy Alta",'Mapa final'!#REF!="Menor"),CONCATENATE("R10C",'Mapa final'!#REF!),"")</f>
        <v>#REF!</v>
      </c>
      <c r="V15" s="62" t="e">
        <f>IF(AND('Mapa final'!#REF!="Muy Alta",'Mapa final'!#REF!="Moderado"),CONCATENATE("R10C",'Mapa final'!#REF!),"")</f>
        <v>#REF!</v>
      </c>
      <c r="W15" s="63" t="e">
        <f>IF(AND('Mapa final'!#REF!="Muy Alta",'Mapa final'!#REF!="Moderado"),CONCATENATE("R10C",'Mapa final'!#REF!),"")</f>
        <v>#REF!</v>
      </c>
      <c r="X15" s="63" t="e">
        <f>IF(AND('Mapa final'!#REF!="Muy Alta",'Mapa final'!#REF!="Moderado"),CONCATENATE("R10C",'Mapa final'!#REF!),"")</f>
        <v>#REF!</v>
      </c>
      <c r="Y15" s="63" t="e">
        <f>IF(AND('Mapa final'!#REF!="Muy Alta",'Mapa final'!#REF!="Moderado"),CONCATENATE("R10C",'Mapa final'!#REF!),"")</f>
        <v>#REF!</v>
      </c>
      <c r="Z15" s="63" t="e">
        <f>IF(AND('Mapa final'!#REF!="Muy Alta",'Mapa final'!#REF!="Moderado"),CONCATENATE("R10C",'Mapa final'!#REF!),"")</f>
        <v>#REF!</v>
      </c>
      <c r="AA15" s="64" t="e">
        <f>IF(AND('Mapa final'!#REF!="Muy Alta",'Mapa final'!#REF!="Moderado"),CONCATENATE("R10C",'Mapa final'!#REF!),"")</f>
        <v>#REF!</v>
      </c>
      <c r="AB15" s="56" t="e">
        <f>IF(AND('Mapa final'!#REF!="Muy Alta",'Mapa final'!#REF!="Mayor"),CONCATENATE("R10C",'Mapa final'!#REF!),"")</f>
        <v>#REF!</v>
      </c>
      <c r="AC15" s="57" t="e">
        <f>IF(AND('Mapa final'!#REF!="Muy Alta",'Mapa final'!#REF!="Mayor"),CONCATENATE("R10C",'Mapa final'!#REF!),"")</f>
        <v>#REF!</v>
      </c>
      <c r="AD15" s="57" t="e">
        <f>IF(AND('Mapa final'!#REF!="Muy Alta",'Mapa final'!#REF!="Mayor"),CONCATENATE("R10C",'Mapa final'!#REF!),"")</f>
        <v>#REF!</v>
      </c>
      <c r="AE15" s="57" t="e">
        <f>IF(AND('Mapa final'!#REF!="Muy Alta",'Mapa final'!#REF!="Mayor"),CONCATENATE("R10C",'Mapa final'!#REF!),"")</f>
        <v>#REF!</v>
      </c>
      <c r="AF15" s="57" t="e">
        <f>IF(AND('Mapa final'!#REF!="Muy Alta",'Mapa final'!#REF!="Mayor"),CONCATENATE("R10C",'Mapa final'!#REF!),"")</f>
        <v>#REF!</v>
      </c>
      <c r="AG15" s="58" t="e">
        <f>IF(AND('Mapa final'!#REF!="Muy Alta",'Mapa final'!#REF!="Mayor"),CONCATENATE("R10C",'Mapa final'!#REF!),"")</f>
        <v>#REF!</v>
      </c>
      <c r="AH15" s="65" t="e">
        <f>IF(AND('Mapa final'!#REF!="Muy Alta",'Mapa final'!#REF!="Catastrófico"),CONCATENATE("R10C",'Mapa final'!#REF!),"")</f>
        <v>#REF!</v>
      </c>
      <c r="AI15" s="66" t="e">
        <f>IF(AND('Mapa final'!#REF!="Muy Alta",'Mapa final'!#REF!="Catastrófico"),CONCATENATE("R10C",'Mapa final'!#REF!),"")</f>
        <v>#REF!</v>
      </c>
      <c r="AJ15" s="66" t="e">
        <f>IF(AND('Mapa final'!#REF!="Muy Alta",'Mapa final'!#REF!="Catastrófico"),CONCATENATE("R10C",'Mapa final'!#REF!),"")</f>
        <v>#REF!</v>
      </c>
      <c r="AK15" s="66" t="e">
        <f>IF(AND('Mapa final'!#REF!="Muy Alta",'Mapa final'!#REF!="Catastrófico"),CONCATENATE("R10C",'Mapa final'!#REF!),"")</f>
        <v>#REF!</v>
      </c>
      <c r="AL15" s="66" t="e">
        <f>IF(AND('Mapa final'!#REF!="Muy Alta",'Mapa final'!#REF!="Catastrófico"),CONCATENATE("R10C",'Mapa final'!#REF!),"")</f>
        <v>#REF!</v>
      </c>
      <c r="AM15" s="67" t="e">
        <f>IF(AND('Mapa final'!#REF!="Muy Alta",'Mapa final'!#REF!="Catastrófico"),CONCATENATE("R10C",'Mapa final'!#REF!),"")</f>
        <v>#REF!</v>
      </c>
      <c r="AN15" s="87"/>
      <c r="AO15" s="803"/>
      <c r="AP15" s="804"/>
      <c r="AQ15" s="804"/>
      <c r="AR15" s="804"/>
      <c r="AS15" s="804"/>
      <c r="AT15" s="805"/>
      <c r="AU15" s="87"/>
      <c r="AV15" s="87"/>
      <c r="AW15" s="87"/>
      <c r="AX15" s="87"/>
      <c r="AY15" s="87"/>
      <c r="AZ15" s="87"/>
      <c r="BA15" s="87"/>
      <c r="BB15" s="87"/>
      <c r="BC15" s="87"/>
      <c r="BD15" s="87"/>
      <c r="BE15" s="87"/>
      <c r="BF15" s="87"/>
      <c r="BG15" s="87"/>
      <c r="BH15" s="87"/>
      <c r="BI15" s="87"/>
      <c r="BJ15" s="87"/>
      <c r="BK15" s="87"/>
      <c r="BL15" s="87"/>
      <c r="BM15" s="87"/>
      <c r="BN15" s="87"/>
      <c r="BO15" s="87"/>
      <c r="BP15" s="87"/>
      <c r="BQ15" s="87"/>
      <c r="BR15" s="87"/>
      <c r="BS15" s="87"/>
      <c r="BT15" s="87"/>
      <c r="BU15" s="87"/>
      <c r="BV15" s="87"/>
      <c r="BW15" s="87"/>
      <c r="BX15" s="87"/>
    </row>
    <row r="16" spans="1:91" ht="15" customHeight="1" x14ac:dyDescent="0.25">
      <c r="A16" s="87"/>
      <c r="B16" s="695"/>
      <c r="C16" s="695"/>
      <c r="D16" s="696"/>
      <c r="E16" s="790" t="s">
        <v>463</v>
      </c>
      <c r="F16" s="791"/>
      <c r="G16" s="791"/>
      <c r="H16" s="791"/>
      <c r="I16" s="791"/>
      <c r="J16" s="68" t="str">
        <f ca="1">IF(AND('Mapa final'!$AC$9="Alta",'Mapa final'!$AE$9="Leve"),CONCATENATE("R1C",'Mapa final'!$S$9),"")</f>
        <v/>
      </c>
      <c r="K16" s="69" t="str">
        <f>IF(AND('Mapa final'!$AC$11="Alta",'Mapa final'!$AE$11="Leve"),CONCATENATE("R1C",'Mapa final'!$S$11),"")</f>
        <v/>
      </c>
      <c r="L16" s="69" t="str">
        <f>IF(AND('Mapa final'!$AC$13="Alta",'Mapa final'!$AE$13="Leve"),CONCATENATE("R1C",'Mapa final'!$S$13),"")</f>
        <v/>
      </c>
      <c r="M16" s="69" t="str">
        <f>IF(AND('Mapa final'!$AC$14="Alta",'Mapa final'!$AE$14="Leve"),CONCATENATE("R1C",'Mapa final'!$S$14),"")</f>
        <v/>
      </c>
      <c r="N16" s="69" t="str">
        <f>IF(AND('Mapa final'!$AC$15="Alta",'Mapa final'!$AE$15="Leve"),CONCATENATE("R1C",'Mapa final'!$S$15),"")</f>
        <v/>
      </c>
      <c r="O16" s="70" t="str">
        <f ca="1">IF(AND('Mapa final'!$AC$60="Alta",'Mapa final'!$AE$60="Leve"),CONCATENATE("R1C",'Mapa final'!$S$60),"")</f>
        <v/>
      </c>
      <c r="P16" s="68" t="str">
        <f ca="1">IF(AND('Mapa final'!$AC$9="Alta",'Mapa final'!$AE$9="Menor"),CONCATENATE("R1C",'Mapa final'!$S$9),"")</f>
        <v/>
      </c>
      <c r="Q16" s="69" t="str">
        <f>IF(AND('Mapa final'!$AC$11="Alta",'Mapa final'!$AE$11="Menor"),CONCATENATE("R1C",'Mapa final'!$S$11),"")</f>
        <v/>
      </c>
      <c r="R16" s="69" t="str">
        <f>IF(AND('Mapa final'!$AC$13="Alta",'Mapa final'!$AE$13="Menor"),CONCATENATE("R1C",'Mapa final'!$S$13),"")</f>
        <v/>
      </c>
      <c r="S16" s="69" t="str">
        <f>IF(AND('Mapa final'!$AC$14="Alta",'Mapa final'!$AE$14="Menor"),CONCATENATE("R1C",'Mapa final'!$S$14),"")</f>
        <v/>
      </c>
      <c r="T16" s="69" t="str">
        <f>IF(AND('Mapa final'!$AC$15="Alta",'Mapa final'!$AE$15="Menor"),CONCATENATE("R1C",'Mapa final'!$S$15),"")</f>
        <v/>
      </c>
      <c r="U16" s="70" t="str">
        <f ca="1">IF(AND('Mapa final'!$AC$60="Alta",'Mapa final'!$AE$60="Menor"),CONCATENATE("R1C",'Mapa final'!$S$60),"")</f>
        <v/>
      </c>
      <c r="V16" s="50" t="str">
        <f ca="1">IF(AND('Mapa final'!$AC$9="Alta",'Mapa final'!$AE$9="Moderado"),CONCATENATE("R1C",'Mapa final'!$S$9),"")</f>
        <v/>
      </c>
      <c r="W16" s="51" t="str">
        <f>IF(AND('Mapa final'!$AC$11="Alta",'Mapa final'!$AE$11="Moderado"),CONCATENATE("R1C",'Mapa final'!$S$11),"")</f>
        <v/>
      </c>
      <c r="X16" s="51" t="str">
        <f>IF(AND('Mapa final'!$AC$13="Alta",'Mapa final'!$AE$13="Moderado"),CONCATENATE("R1C",'Mapa final'!$S$13),"")</f>
        <v/>
      </c>
      <c r="Y16" s="51" t="str">
        <f>IF(AND('Mapa final'!$AC$14="Alta",'Mapa final'!$AE$14="Moderado"),CONCATENATE("R1C",'Mapa final'!$S$14),"")</f>
        <v/>
      </c>
      <c r="Z16" s="51" t="str">
        <f>IF(AND('Mapa final'!$AC$15="Alta",'Mapa final'!$AE$15="Moderado"),CONCATENATE("R1C",'Mapa final'!$S$15),"")</f>
        <v/>
      </c>
      <c r="AA16" s="52" t="str">
        <f ca="1">IF(AND('Mapa final'!$AC$60="Alta",'Mapa final'!$AE$60="Moderado"),CONCATENATE("R1C",'Mapa final'!$S$60),"")</f>
        <v/>
      </c>
      <c r="AB16" s="50" t="str">
        <f ca="1">IF(AND('Mapa final'!$AC$9="Alta",'Mapa final'!$AE$9="Mayor"),CONCATENATE("R1C",'Mapa final'!$S$9),"")</f>
        <v/>
      </c>
      <c r="AC16" s="51" t="str">
        <f>IF(AND('Mapa final'!$AC$11="Alta",'Mapa final'!$AE$11="Mayor"),CONCATENATE("R1C",'Mapa final'!$S$11),"")</f>
        <v/>
      </c>
      <c r="AD16" s="51" t="str">
        <f>IF(AND('Mapa final'!$AC$13="Alta",'Mapa final'!$AE$13="Mayor"),CONCATENATE("R1C",'Mapa final'!$S$13),"")</f>
        <v/>
      </c>
      <c r="AE16" s="51" t="str">
        <f>IF(AND('Mapa final'!$AC$14="Alta",'Mapa final'!$AE$14="Mayor"),CONCATENATE("R1C",'Mapa final'!$S$14),"")</f>
        <v/>
      </c>
      <c r="AF16" s="51" t="str">
        <f>IF(AND('Mapa final'!$AC$15="Alta",'Mapa final'!$AE$15="Mayor"),CONCATENATE("R1C",'Mapa final'!$S$15),"")</f>
        <v/>
      </c>
      <c r="AG16" s="52" t="str">
        <f ca="1">IF(AND('Mapa final'!$AC$60="Alta",'Mapa final'!$AE$60="Mayor"),CONCATENATE("R1C",'Mapa final'!$S$60),"")</f>
        <v/>
      </c>
      <c r="AH16" s="53" t="str">
        <f ca="1">IF(AND('Mapa final'!$AC$9="Alta",'Mapa final'!$AE$9="Catastrófico"),CONCATENATE("R1C",'Mapa final'!$S$9),"")</f>
        <v/>
      </c>
      <c r="AI16" s="54" t="str">
        <f>IF(AND('Mapa final'!$AC$11="Alta",'Mapa final'!$AE$11="Catastrófico"),CONCATENATE("R1C",'Mapa final'!$S$11),"")</f>
        <v/>
      </c>
      <c r="AJ16" s="54" t="str">
        <f>IF(AND('Mapa final'!$AC$13="Alta",'Mapa final'!$AE$13="Catastrófico"),CONCATENATE("R1C",'Mapa final'!$S$13),"")</f>
        <v/>
      </c>
      <c r="AK16" s="54" t="str">
        <f>IF(AND('Mapa final'!$AC$14="Alta",'Mapa final'!$AE$14="Catastrófico"),CONCATENATE("R1C",'Mapa final'!$S$14),"")</f>
        <v/>
      </c>
      <c r="AL16" s="54" t="str">
        <f>IF(AND('Mapa final'!$AC$15="Alta",'Mapa final'!$AE$15="Catastrófico"),CONCATENATE("R1C",'Mapa final'!$S$15),"")</f>
        <v/>
      </c>
      <c r="AM16" s="55" t="str">
        <f ca="1">IF(AND('Mapa final'!$AC$60="Alta",'Mapa final'!$AE$60="Catastrófico"),CONCATENATE("R1C",'Mapa final'!$S$60),"")</f>
        <v/>
      </c>
      <c r="AN16" s="87"/>
      <c r="AO16" s="781" t="s">
        <v>390</v>
      </c>
      <c r="AP16" s="782"/>
      <c r="AQ16" s="782"/>
      <c r="AR16" s="782"/>
      <c r="AS16" s="782"/>
      <c r="AT16" s="783"/>
      <c r="AU16" s="87"/>
      <c r="AV16" s="87"/>
      <c r="AW16" s="87"/>
      <c r="AX16" s="87"/>
      <c r="AY16" s="87"/>
      <c r="AZ16" s="87"/>
      <c r="BA16" s="87"/>
      <c r="BB16" s="87"/>
      <c r="BC16" s="87"/>
      <c r="BD16" s="87"/>
      <c r="BE16" s="87"/>
      <c r="BF16" s="87"/>
      <c r="BG16" s="87"/>
      <c r="BH16" s="87"/>
      <c r="BI16" s="87"/>
      <c r="BJ16" s="87"/>
      <c r="BK16" s="87"/>
      <c r="BL16" s="87"/>
      <c r="BM16" s="87"/>
      <c r="BN16" s="87"/>
      <c r="BO16" s="87"/>
      <c r="BP16" s="87"/>
      <c r="BQ16" s="87"/>
      <c r="BR16" s="87"/>
      <c r="BS16" s="87"/>
      <c r="BT16" s="87"/>
      <c r="BU16" s="87"/>
      <c r="BV16" s="87"/>
      <c r="BW16" s="87"/>
      <c r="BX16" s="87"/>
    </row>
    <row r="17" spans="1:76" ht="15" customHeight="1" x14ac:dyDescent="0.25">
      <c r="A17" s="87"/>
      <c r="B17" s="695"/>
      <c r="C17" s="695"/>
      <c r="D17" s="696"/>
      <c r="E17" s="792"/>
      <c r="F17" s="793"/>
      <c r="G17" s="793"/>
      <c r="H17" s="793"/>
      <c r="I17" s="793"/>
      <c r="J17" s="71" t="str">
        <f ca="1">IF(AND('Mapa final'!$AC$63="Alta",'Mapa final'!$AE$63="Leve"),CONCATENATE("R2C",'Mapa final'!$S$63),"")</f>
        <v/>
      </c>
      <c r="K17" s="72" t="str">
        <f ca="1">IF(AND('Mapa final'!$AC$66="Alta",'Mapa final'!$AE$66="Leve"),CONCATENATE("R2C",'Mapa final'!$S$66),"")</f>
        <v/>
      </c>
      <c r="L17" s="72" t="str">
        <f ca="1">IF(AND('Mapa final'!$AC$69="Alta",'Mapa final'!$AE$69="Leve"),CONCATENATE("R2C",'Mapa final'!$S$69),"")</f>
        <v/>
      </c>
      <c r="M17" s="72" t="str">
        <f ca="1">IF(AND('Mapa final'!$AC$70="Alta",'Mapa final'!$AE$70="Leve"),CONCATENATE("R2C",'Mapa final'!$S$70),"")</f>
        <v/>
      </c>
      <c r="N17" s="72" t="str">
        <f ca="1">IF(AND('Mapa final'!$AC$71="Alta",'Mapa final'!$AE$71="Leve"),CONCATENATE("R2C",'Mapa final'!$S$71),"")</f>
        <v/>
      </c>
      <c r="O17" s="73" t="str">
        <f ca="1">IF(AND('Mapa final'!$AC$74="Alta",'Mapa final'!$AE$74="Leve"),CONCATENATE("R2C",'Mapa final'!$S$74),"")</f>
        <v/>
      </c>
      <c r="P17" s="71" t="str">
        <f ca="1">IF(AND('Mapa final'!$AC$63="Alta",'Mapa final'!$AE$63="Menor"),CONCATENATE("R2C",'Mapa final'!$S$63),"")</f>
        <v/>
      </c>
      <c r="Q17" s="72" t="str">
        <f ca="1">IF(AND('Mapa final'!$AC$66="Alta",'Mapa final'!$AE$66="Menor"),CONCATENATE("R2C",'Mapa final'!$S$66),"")</f>
        <v/>
      </c>
      <c r="R17" s="72" t="str">
        <f ca="1">IF(AND('Mapa final'!$AC$69="Alta",'Mapa final'!$AE$69="Menor"),CONCATENATE("R2C",'Mapa final'!$S$69),"")</f>
        <v/>
      </c>
      <c r="S17" s="72" t="str">
        <f ca="1">IF(AND('Mapa final'!$AC$70="Alta",'Mapa final'!$AE$70="Menor"),CONCATENATE("R2C",'Mapa final'!$S$70),"")</f>
        <v/>
      </c>
      <c r="T17" s="72" t="str">
        <f ca="1">IF(AND('Mapa final'!$AC$71="Alta",'Mapa final'!$AE$71="Menor"),CONCATENATE("R2C",'Mapa final'!$S$71),"")</f>
        <v/>
      </c>
      <c r="U17" s="73" t="str">
        <f ca="1">IF(AND('Mapa final'!$AC$74="Alta",'Mapa final'!$AE$74="Menor"),CONCATENATE("R2C",'Mapa final'!$S$74),"")</f>
        <v/>
      </c>
      <c r="V17" s="56" t="str">
        <f ca="1">IF(AND('Mapa final'!$AC$63="Alta",'Mapa final'!$AE$63="Moderado"),CONCATENATE("R2C",'Mapa final'!$S$63),"")</f>
        <v/>
      </c>
      <c r="W17" s="57" t="str">
        <f ca="1">IF(AND('Mapa final'!$AC$66="Alta",'Mapa final'!$AE$66="Moderado"),CONCATENATE("R2C",'Mapa final'!$S$66),"")</f>
        <v/>
      </c>
      <c r="X17" s="57" t="str">
        <f ca="1">IF(AND('Mapa final'!$AC$69="Alta",'Mapa final'!$AE$69="Moderado"),CONCATENATE("R2C",'Mapa final'!$S$69),"")</f>
        <v/>
      </c>
      <c r="Y17" s="57" t="str">
        <f ca="1">IF(AND('Mapa final'!$AC$70="Alta",'Mapa final'!$AE$70="Moderado"),CONCATENATE("R2C",'Mapa final'!$S$70),"")</f>
        <v/>
      </c>
      <c r="Z17" s="57" t="str">
        <f ca="1">IF(AND('Mapa final'!$AC$71="Alta",'Mapa final'!$AE$71="Moderado"),CONCATENATE("R2C",'Mapa final'!$S$71),"")</f>
        <v/>
      </c>
      <c r="AA17" s="58" t="str">
        <f ca="1">IF(AND('Mapa final'!$AC$74="Alta",'Mapa final'!$AE$74="Moderado"),CONCATENATE("R2C",'Mapa final'!$S$74),"")</f>
        <v/>
      </c>
      <c r="AB17" s="56" t="str">
        <f ca="1">IF(AND('Mapa final'!$AC$63="Alta",'Mapa final'!$AE$63="Mayor"),CONCATENATE("R2C",'Mapa final'!$S$63),"")</f>
        <v/>
      </c>
      <c r="AC17" s="57" t="str">
        <f ca="1">IF(AND('Mapa final'!$AC$66="Alta",'Mapa final'!$AE$66="Mayor"),CONCATENATE("R2C",'Mapa final'!$S$66),"")</f>
        <v/>
      </c>
      <c r="AD17" s="57" t="str">
        <f ca="1">IF(AND('Mapa final'!$AC$69="Alta",'Mapa final'!$AE$69="Mayor"),CONCATENATE("R2C",'Mapa final'!$S$69),"")</f>
        <v/>
      </c>
      <c r="AE17" s="57" t="str">
        <f ca="1">IF(AND('Mapa final'!$AC$70="Alta",'Mapa final'!$AE$70="Mayor"),CONCATENATE("R2C",'Mapa final'!$S$70),"")</f>
        <v/>
      </c>
      <c r="AF17" s="57" t="str">
        <f ca="1">IF(AND('Mapa final'!$AC$71="Alta",'Mapa final'!$AE$71="Mayor"),CONCATENATE("R2C",'Mapa final'!$S$71),"")</f>
        <v/>
      </c>
      <c r="AG17" s="58" t="str">
        <f ca="1">IF(AND('Mapa final'!$AC$74="Alta",'Mapa final'!$AE$74="Mayor"),CONCATENATE("R2C",'Mapa final'!$S$74),"")</f>
        <v/>
      </c>
      <c r="AH17" s="59" t="str">
        <f ca="1">IF(AND('Mapa final'!$AC$63="Alta",'Mapa final'!$AE$63="Catastrófico"),CONCATENATE("R2C",'Mapa final'!$S$63),"")</f>
        <v/>
      </c>
      <c r="AI17" s="60" t="str">
        <f ca="1">IF(AND('Mapa final'!$AC$66="Alta",'Mapa final'!$AE$66="Catastrófico"),CONCATENATE("R2C",'Mapa final'!$S$66),"")</f>
        <v/>
      </c>
      <c r="AJ17" s="60" t="str">
        <f ca="1">IF(AND('Mapa final'!$AC$69="Alta",'Mapa final'!$AE$69="Catastrófico"),CONCATENATE("R2C",'Mapa final'!$S$69),"")</f>
        <v/>
      </c>
      <c r="AK17" s="60" t="str">
        <f ca="1">IF(AND('Mapa final'!$AC$70="Alta",'Mapa final'!$AE$70="Catastrófico"),CONCATENATE("R2C",'Mapa final'!$S$70),"")</f>
        <v/>
      </c>
      <c r="AL17" s="60" t="str">
        <f ca="1">IF(AND('Mapa final'!$AC$71="Alta",'Mapa final'!$AE$71="Catastrófico"),CONCATENATE("R2C",'Mapa final'!$S$71),"")</f>
        <v/>
      </c>
      <c r="AM17" s="61" t="str">
        <f ca="1">IF(AND('Mapa final'!$AC$74="Alta",'Mapa final'!$AE$74="Catastrófico"),CONCATENATE("R2C",'Mapa final'!$S$74),"")</f>
        <v/>
      </c>
      <c r="AN17" s="87"/>
      <c r="AO17" s="784"/>
      <c r="AP17" s="785"/>
      <c r="AQ17" s="785"/>
      <c r="AR17" s="785"/>
      <c r="AS17" s="785"/>
      <c r="AT17" s="786"/>
      <c r="AU17" s="87"/>
      <c r="AV17" s="87"/>
      <c r="AW17" s="87"/>
      <c r="AX17" s="87"/>
      <c r="AY17" s="87"/>
      <c r="AZ17" s="87"/>
      <c r="BA17" s="87"/>
      <c r="BB17" s="87"/>
      <c r="BC17" s="87"/>
      <c r="BD17" s="87"/>
      <c r="BE17" s="87"/>
      <c r="BF17" s="87"/>
      <c r="BG17" s="87"/>
      <c r="BH17" s="87"/>
      <c r="BI17" s="87"/>
      <c r="BJ17" s="87"/>
      <c r="BK17" s="87"/>
      <c r="BL17" s="87"/>
      <c r="BM17" s="87"/>
      <c r="BN17" s="87"/>
      <c r="BO17" s="87"/>
      <c r="BP17" s="87"/>
      <c r="BQ17" s="87"/>
      <c r="BR17" s="87"/>
      <c r="BS17" s="87"/>
      <c r="BT17" s="87"/>
      <c r="BU17" s="87"/>
      <c r="BV17" s="87"/>
      <c r="BW17" s="87"/>
      <c r="BX17" s="87"/>
    </row>
    <row r="18" spans="1:76" ht="15" customHeight="1" x14ac:dyDescent="0.25">
      <c r="A18" s="87"/>
      <c r="B18" s="695"/>
      <c r="C18" s="695"/>
      <c r="D18" s="696"/>
      <c r="E18" s="794"/>
      <c r="F18" s="793"/>
      <c r="G18" s="793"/>
      <c r="H18" s="793"/>
      <c r="I18" s="793"/>
      <c r="J18" s="71" t="str">
        <f ca="1">IF(AND('Mapa final'!$AC$75="Alta",'Mapa final'!$AE$75="Leve"),CONCATENATE("R3C",'Mapa final'!$S$75),"")</f>
        <v/>
      </c>
      <c r="K18" s="72" t="str">
        <f>IF(AND('Mapa final'!$AC$76="Alta",'Mapa final'!$AE$76="Leve"),CONCATENATE("R3C",'Mapa final'!$S$76),"")</f>
        <v/>
      </c>
      <c r="L18" s="72" t="str">
        <f>IF(AND('Mapa final'!$AC$77="Alta",'Mapa final'!$AE$77="Leve"),CONCATENATE("R3C",'Mapa final'!$S$77),"")</f>
        <v/>
      </c>
      <c r="M18" s="72" t="str">
        <f>IF(AND('Mapa final'!$AC$78="Alta",'Mapa final'!$AE$78="Leve"),CONCATENATE("R3C",'Mapa final'!$S$78),"")</f>
        <v/>
      </c>
      <c r="N18" s="72" t="str">
        <f>IF(AND('Mapa final'!$AC$79="Alta",'Mapa final'!$AE$79="Leve"),CONCATENATE("R3C",'Mapa final'!$S$79),"")</f>
        <v/>
      </c>
      <c r="O18" s="73" t="str">
        <f ca="1">IF(AND('Mapa final'!$AC$80="Alta",'Mapa final'!$AE$80="Leve"),CONCATENATE("R3C",'Mapa final'!$S$80),"")</f>
        <v/>
      </c>
      <c r="P18" s="71" t="str">
        <f ca="1">IF(AND('Mapa final'!$AC$75="Alta",'Mapa final'!$AE$75="Menor"),CONCATENATE("R3C",'Mapa final'!$S$75),"")</f>
        <v/>
      </c>
      <c r="Q18" s="72" t="str">
        <f>IF(AND('Mapa final'!$AC$76="Alta",'Mapa final'!$AE$76="Menor"),CONCATENATE("R3C",'Mapa final'!$S$76),"")</f>
        <v/>
      </c>
      <c r="R18" s="72" t="str">
        <f>IF(AND('Mapa final'!$AC$77="Alta",'Mapa final'!$AE$77="Menor"),CONCATENATE("R3C",'Mapa final'!$S$77),"")</f>
        <v/>
      </c>
      <c r="S18" s="72" t="str">
        <f>IF(AND('Mapa final'!$AC$78="Alta",'Mapa final'!$AE$78="Menor"),CONCATENATE("R3C",'Mapa final'!$S$78),"")</f>
        <v/>
      </c>
      <c r="T18" s="72" t="str">
        <f>IF(AND('Mapa final'!$AC$79="Alta",'Mapa final'!$AE$79="Menor"),CONCATENATE("R3C",'Mapa final'!$S$79),"")</f>
        <v/>
      </c>
      <c r="U18" s="73" t="str">
        <f ca="1">IF(AND('Mapa final'!$AC$80="Alta",'Mapa final'!$AE$80="Menor"),CONCATENATE("R3C",'Mapa final'!$S$80),"")</f>
        <v/>
      </c>
      <c r="V18" s="56" t="str">
        <f ca="1">IF(AND('Mapa final'!$AC$75="Alta",'Mapa final'!$AE$75="Moderado"),CONCATENATE("R3C",'Mapa final'!$S$75),"")</f>
        <v/>
      </c>
      <c r="W18" s="57" t="str">
        <f>IF(AND('Mapa final'!$AC$76="Alta",'Mapa final'!$AE$76="Moderado"),CONCATENATE("R3C",'Mapa final'!$S$76),"")</f>
        <v/>
      </c>
      <c r="X18" s="57" t="str">
        <f>IF(AND('Mapa final'!$AC$77="Alta",'Mapa final'!$AE$77="Moderado"),CONCATENATE("R3C",'Mapa final'!$S$77),"")</f>
        <v/>
      </c>
      <c r="Y18" s="57" t="str">
        <f>IF(AND('Mapa final'!$AC$78="Alta",'Mapa final'!$AE$78="Moderado"),CONCATENATE("R3C",'Mapa final'!$S$78),"")</f>
        <v/>
      </c>
      <c r="Z18" s="57" t="str">
        <f>IF(AND('Mapa final'!$AC$79="Alta",'Mapa final'!$AE$79="Moderado"),CONCATENATE("R3C",'Mapa final'!$S$79),"")</f>
        <v/>
      </c>
      <c r="AA18" s="58" t="str">
        <f ca="1">IF(AND('Mapa final'!$AC$80="Alta",'Mapa final'!$AE$80="Moderado"),CONCATENATE("R3C",'Mapa final'!$S$80),"")</f>
        <v/>
      </c>
      <c r="AB18" s="56" t="str">
        <f ca="1">IF(AND('Mapa final'!$AC$75="Alta",'Mapa final'!$AE$75="Mayor"),CONCATENATE("R3C",'Mapa final'!$S$75),"")</f>
        <v/>
      </c>
      <c r="AC18" s="57" t="str">
        <f>IF(AND('Mapa final'!$AC$76="Alta",'Mapa final'!$AE$76="Mayor"),CONCATENATE("R3C",'Mapa final'!$S$76),"")</f>
        <v/>
      </c>
      <c r="AD18" s="57" t="str">
        <f>IF(AND('Mapa final'!$AC$77="Alta",'Mapa final'!$AE$77="Mayor"),CONCATENATE("R3C",'Mapa final'!$S$77),"")</f>
        <v/>
      </c>
      <c r="AE18" s="57" t="str">
        <f>IF(AND('Mapa final'!$AC$78="Alta",'Mapa final'!$AE$78="Mayor"),CONCATENATE("R3C",'Mapa final'!$S$78),"")</f>
        <v/>
      </c>
      <c r="AF18" s="57" t="str">
        <f>IF(AND('Mapa final'!$AC$79="Alta",'Mapa final'!$AE$79="Mayor"),CONCATENATE("R3C",'Mapa final'!$S$79),"")</f>
        <v/>
      </c>
      <c r="AG18" s="58" t="str">
        <f ca="1">IF(AND('Mapa final'!$AC$80="Alta",'Mapa final'!$AE$80="Mayor"),CONCATENATE("R3C",'Mapa final'!$S$80),"")</f>
        <v/>
      </c>
      <c r="AH18" s="59" t="str">
        <f ca="1">IF(AND('Mapa final'!$AC$75="Alta",'Mapa final'!$AE$75="Catastrófico"),CONCATENATE("R3C",'Mapa final'!$S$75),"")</f>
        <v/>
      </c>
      <c r="AI18" s="60" t="str">
        <f>IF(AND('Mapa final'!$AC$76="Alta",'Mapa final'!$AE$76="Catastrófico"),CONCATENATE("R3C",'Mapa final'!$S$76),"")</f>
        <v/>
      </c>
      <c r="AJ18" s="60" t="str">
        <f>IF(AND('Mapa final'!$AC$77="Alta",'Mapa final'!$AE$77="Catastrófico"),CONCATENATE("R3C",'Mapa final'!$S$77),"")</f>
        <v/>
      </c>
      <c r="AK18" s="60" t="str">
        <f>IF(AND('Mapa final'!$AC$78="Alta",'Mapa final'!$AE$78="Catastrófico"),CONCATENATE("R3C",'Mapa final'!$S$78),"")</f>
        <v/>
      </c>
      <c r="AL18" s="60" t="str">
        <f>IF(AND('Mapa final'!$AC$79="Alta",'Mapa final'!$AE$79="Catastrófico"),CONCATENATE("R3C",'Mapa final'!$S$79),"")</f>
        <v/>
      </c>
      <c r="AM18" s="61" t="str">
        <f ca="1">IF(AND('Mapa final'!$AC$80="Alta",'Mapa final'!$AE$80="Catastrófico"),CONCATENATE("R3C",'Mapa final'!$S$80),"")</f>
        <v/>
      </c>
      <c r="AN18" s="87"/>
      <c r="AO18" s="784"/>
      <c r="AP18" s="785"/>
      <c r="AQ18" s="785"/>
      <c r="AR18" s="785"/>
      <c r="AS18" s="785"/>
      <c r="AT18" s="786"/>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c r="BS18" s="87"/>
      <c r="BT18" s="87"/>
      <c r="BU18" s="87"/>
      <c r="BV18" s="87"/>
      <c r="BW18" s="87"/>
      <c r="BX18" s="87"/>
    </row>
    <row r="19" spans="1:76" ht="15" customHeight="1" x14ac:dyDescent="0.25">
      <c r="A19" s="87"/>
      <c r="B19" s="695"/>
      <c r="C19" s="695"/>
      <c r="D19" s="696"/>
      <c r="E19" s="794"/>
      <c r="F19" s="793"/>
      <c r="G19" s="793"/>
      <c r="H19" s="793"/>
      <c r="I19" s="793"/>
      <c r="J19" s="71" t="str">
        <f ca="1">IF(AND('Mapa final'!$AC$81="Alta",'Mapa final'!$AE$81="Leve"),CONCATENATE("R4C",'Mapa final'!$S$81),"")</f>
        <v/>
      </c>
      <c r="K19" s="72" t="str">
        <f ca="1">IF(AND('Mapa final'!$AC$86="Alta",'Mapa final'!$AE$86="Leve"),CONCATENATE("R4C",'Mapa final'!$S$86),"")</f>
        <v/>
      </c>
      <c r="L19" s="72" t="e">
        <f>IF(AND('Mapa final'!#REF!="Alta",'Mapa final'!#REF!="Leve"),CONCATENATE("R4C",'Mapa final'!#REF!),"")</f>
        <v>#REF!</v>
      </c>
      <c r="M19" s="72" t="str">
        <f ca="1">IF(AND('Mapa final'!$AC$87="Alta",'Mapa final'!$AE$87="Leve"),CONCATENATE("R4C",'Mapa final'!$S$87),"")</f>
        <v/>
      </c>
      <c r="N19" s="72" t="str">
        <f ca="1">IF(AND('Mapa final'!$AC$88="Alta",'Mapa final'!$AE$88="Leve"),CONCATENATE("R4C",'Mapa final'!$S$88),"")</f>
        <v/>
      </c>
      <c r="O19" s="73" t="e">
        <f>IF(AND('Mapa final'!#REF!="Alta",'Mapa final'!#REF!="Leve"),CONCATENATE("R4C",'Mapa final'!#REF!),"")</f>
        <v>#REF!</v>
      </c>
      <c r="P19" s="71" t="str">
        <f ca="1">IF(AND('Mapa final'!$AC$81="Alta",'Mapa final'!$AE$81="Menor"),CONCATENATE("R4C",'Mapa final'!$S$81),"")</f>
        <v/>
      </c>
      <c r="Q19" s="72" t="str">
        <f ca="1">IF(AND('Mapa final'!$AC$86="Alta",'Mapa final'!$AE$86="Menor"),CONCATENATE("R4C",'Mapa final'!$S$86),"")</f>
        <v/>
      </c>
      <c r="R19" s="72" t="e">
        <f>IF(AND('Mapa final'!#REF!="Alta",'Mapa final'!#REF!="Menor"),CONCATENATE("R4C",'Mapa final'!#REF!),"")</f>
        <v>#REF!</v>
      </c>
      <c r="S19" s="72" t="str">
        <f ca="1">IF(AND('Mapa final'!$AC$87="Alta",'Mapa final'!$AE$87="Menor"),CONCATENATE("R4C",'Mapa final'!$S$87),"")</f>
        <v/>
      </c>
      <c r="T19" s="72" t="str">
        <f ca="1">IF(AND('Mapa final'!$AC$88="Alta",'Mapa final'!$AE$88="Menor"),CONCATENATE("R4C",'Mapa final'!$S$88),"")</f>
        <v/>
      </c>
      <c r="U19" s="73" t="e">
        <f>IF(AND('Mapa final'!#REF!="Alta",'Mapa final'!#REF!="Menor"),CONCATENATE("R4C",'Mapa final'!#REF!),"")</f>
        <v>#REF!</v>
      </c>
      <c r="V19" s="56" t="str">
        <f ca="1">IF(AND('Mapa final'!$AC$81="Alta",'Mapa final'!$AE$81="Moderado"),CONCATENATE("R4C",'Mapa final'!$S$81),"")</f>
        <v/>
      </c>
      <c r="W19" s="57" t="str">
        <f ca="1">IF(AND('Mapa final'!$AC$86="Alta",'Mapa final'!$AE$86="Moderado"),CONCATENATE("R4C",'Mapa final'!$S$86),"")</f>
        <v/>
      </c>
      <c r="X19" s="57" t="e">
        <f>IF(AND('Mapa final'!#REF!="Alta",'Mapa final'!#REF!="Moderado"),CONCATENATE("R4C",'Mapa final'!#REF!),"")</f>
        <v>#REF!</v>
      </c>
      <c r="Y19" s="57" t="str">
        <f ca="1">IF(AND('Mapa final'!$AC$87="Alta",'Mapa final'!$AE$87="Moderado"),CONCATENATE("R4C",'Mapa final'!$S$87),"")</f>
        <v/>
      </c>
      <c r="Z19" s="57" t="str">
        <f ca="1">IF(AND('Mapa final'!$AC$88="Alta",'Mapa final'!$AE$88="Moderado"),CONCATENATE("R4C",'Mapa final'!$S$88),"")</f>
        <v/>
      </c>
      <c r="AA19" s="58" t="e">
        <f>IF(AND('Mapa final'!#REF!="Alta",'Mapa final'!#REF!="Moderado"),CONCATENATE("R4C",'Mapa final'!#REF!),"")</f>
        <v>#REF!</v>
      </c>
      <c r="AB19" s="56" t="str">
        <f ca="1">IF(AND('Mapa final'!$AC$81="Alta",'Mapa final'!$AE$81="Mayor"),CONCATENATE("R4C",'Mapa final'!$S$81),"")</f>
        <v/>
      </c>
      <c r="AC19" s="57" t="str">
        <f ca="1">IF(AND('Mapa final'!$AC$86="Alta",'Mapa final'!$AE$86="Mayor"),CONCATENATE("R4C",'Mapa final'!$S$86),"")</f>
        <v/>
      </c>
      <c r="AD19" s="57" t="e">
        <f>IF(AND('Mapa final'!#REF!="Alta",'Mapa final'!#REF!="Mayor"),CONCATENATE("R4C",'Mapa final'!#REF!),"")</f>
        <v>#REF!</v>
      </c>
      <c r="AE19" s="57" t="str">
        <f ca="1">IF(AND('Mapa final'!$AC$87="Alta",'Mapa final'!$AE$87="Mayor"),CONCATENATE("R4C",'Mapa final'!$S$87),"")</f>
        <v/>
      </c>
      <c r="AF19" s="57" t="str">
        <f ca="1">IF(AND('Mapa final'!$AC$88="Alta",'Mapa final'!$AE$88="Mayor"),CONCATENATE("R4C",'Mapa final'!$S$88),"")</f>
        <v/>
      </c>
      <c r="AG19" s="58" t="e">
        <f>IF(AND('Mapa final'!#REF!="Alta",'Mapa final'!#REF!="Mayor"),CONCATENATE("R4C",'Mapa final'!#REF!),"")</f>
        <v>#REF!</v>
      </c>
      <c r="AH19" s="59" t="str">
        <f ca="1">IF(AND('Mapa final'!$AC$81="Alta",'Mapa final'!$AE$81="Catastrófico"),CONCATENATE("R4C",'Mapa final'!$S$81),"")</f>
        <v/>
      </c>
      <c r="AI19" s="60" t="str">
        <f ca="1">IF(AND('Mapa final'!$AC$86="Alta",'Mapa final'!$AE$86="Catastrófico"),CONCATENATE("R4C",'Mapa final'!$S$86),"")</f>
        <v/>
      </c>
      <c r="AJ19" s="60" t="e">
        <f>IF(AND('Mapa final'!#REF!="Alta",'Mapa final'!#REF!="Catastrófico"),CONCATENATE("R4C",'Mapa final'!#REF!),"")</f>
        <v>#REF!</v>
      </c>
      <c r="AK19" s="60" t="str">
        <f ca="1">IF(AND('Mapa final'!$AC$87="Alta",'Mapa final'!$AE$87="Catastrófico"),CONCATENATE("R4C",'Mapa final'!$S$87),"")</f>
        <v/>
      </c>
      <c r="AL19" s="60" t="str">
        <f ca="1">IF(AND('Mapa final'!$AC$88="Alta",'Mapa final'!$AE$88="Catastrófico"),CONCATENATE("R4C",'Mapa final'!$S$88),"")</f>
        <v/>
      </c>
      <c r="AM19" s="61" t="e">
        <f>IF(AND('Mapa final'!#REF!="Alta",'Mapa final'!#REF!="Catastrófico"),CONCATENATE("R4C",'Mapa final'!#REF!),"")</f>
        <v>#REF!</v>
      </c>
      <c r="AN19" s="87"/>
      <c r="AO19" s="784"/>
      <c r="AP19" s="785"/>
      <c r="AQ19" s="785"/>
      <c r="AR19" s="785"/>
      <c r="AS19" s="785"/>
      <c r="AT19" s="786"/>
      <c r="AU19" s="87"/>
      <c r="AV19" s="87"/>
      <c r="AW19" s="87"/>
      <c r="AX19" s="87"/>
      <c r="AY19" s="87"/>
      <c r="AZ19" s="87"/>
      <c r="BA19" s="87"/>
      <c r="BB19" s="87"/>
      <c r="BC19" s="87"/>
      <c r="BD19" s="87"/>
      <c r="BE19" s="87"/>
      <c r="BF19" s="87"/>
      <c r="BG19" s="87"/>
      <c r="BH19" s="87"/>
      <c r="BI19" s="87"/>
      <c r="BJ19" s="87"/>
      <c r="BK19" s="87"/>
      <c r="BL19" s="87"/>
      <c r="BM19" s="87"/>
      <c r="BN19" s="87"/>
      <c r="BO19" s="87"/>
      <c r="BP19" s="87"/>
      <c r="BQ19" s="87"/>
      <c r="BR19" s="87"/>
      <c r="BS19" s="87"/>
      <c r="BT19" s="87"/>
      <c r="BU19" s="87"/>
      <c r="BV19" s="87"/>
      <c r="BW19" s="87"/>
      <c r="BX19" s="87"/>
    </row>
    <row r="20" spans="1:76" ht="15" customHeight="1" x14ac:dyDescent="0.25">
      <c r="A20" s="87"/>
      <c r="B20" s="695"/>
      <c r="C20" s="695"/>
      <c r="D20" s="696"/>
      <c r="E20" s="794"/>
      <c r="F20" s="793"/>
      <c r="G20" s="793"/>
      <c r="H20" s="793"/>
      <c r="I20" s="793"/>
      <c r="J20" s="71" t="str">
        <f ca="1">IF(AND('Mapa final'!$AC$89="Alta",'Mapa final'!$AE$89="Leve"),CONCATENATE("R5C",'Mapa final'!$S$89),"")</f>
        <v/>
      </c>
      <c r="K20" s="72" t="str">
        <f ca="1">IF(AND('Mapa final'!$AC$91="Alta",'Mapa final'!$AE$91="Leve"),CONCATENATE("R5C",'Mapa final'!$S$91),"")</f>
        <v/>
      </c>
      <c r="L20" s="72" t="str">
        <f ca="1">IF(AND('Mapa final'!$AC$92="Alta",'Mapa final'!$AE$92="Leve"),CONCATENATE("R5C",'Mapa final'!$S$92),"")</f>
        <v/>
      </c>
      <c r="M20" s="72" t="str">
        <f ca="1">IF(AND('Mapa final'!$AC$95="Alta",'Mapa final'!$AE$95="Leve"),CONCATENATE("R5C",'Mapa final'!$S$95),"")</f>
        <v/>
      </c>
      <c r="N20" s="72" t="e">
        <f>IF(AND('Mapa final'!#REF!="Alta",'Mapa final'!#REF!="Leve"),CONCATENATE("R5C",'Mapa final'!#REF!),"")</f>
        <v>#REF!</v>
      </c>
      <c r="O20" s="73" t="e">
        <f>IF(AND('Mapa final'!#REF!="Alta",'Mapa final'!#REF!="Leve"),CONCATENATE("R5C",'Mapa final'!#REF!),"")</f>
        <v>#REF!</v>
      </c>
      <c r="P20" s="71" t="str">
        <f ca="1">IF(AND('Mapa final'!$AC$89="Alta",'Mapa final'!$AE$89="Menor"),CONCATENATE("R5C",'Mapa final'!$S$89),"")</f>
        <v/>
      </c>
      <c r="Q20" s="72" t="str">
        <f ca="1">IF(AND('Mapa final'!$AC$91="Alta",'Mapa final'!$AE$91="Menor"),CONCATENATE("R5C",'Mapa final'!$S$91),"")</f>
        <v/>
      </c>
      <c r="R20" s="72" t="str">
        <f ca="1">IF(AND('Mapa final'!$AC$92="Alta",'Mapa final'!$AE$92="Menor"),CONCATENATE("R5C",'Mapa final'!$S$92),"")</f>
        <v/>
      </c>
      <c r="S20" s="72" t="str">
        <f ca="1">IF(AND('Mapa final'!$AC$95="Alta",'Mapa final'!$AE$95="Menor"),CONCATENATE("R5C",'Mapa final'!$S$95),"")</f>
        <v/>
      </c>
      <c r="T20" s="72" t="e">
        <f>IF(AND('Mapa final'!#REF!="Alta",'Mapa final'!#REF!="Menor"),CONCATENATE("R5C",'Mapa final'!#REF!),"")</f>
        <v>#REF!</v>
      </c>
      <c r="U20" s="73" t="e">
        <f>IF(AND('Mapa final'!#REF!="Alta",'Mapa final'!#REF!="Menor"),CONCATENATE("R5C",'Mapa final'!#REF!),"")</f>
        <v>#REF!</v>
      </c>
      <c r="V20" s="56" t="str">
        <f ca="1">IF(AND('Mapa final'!$AC$89="Alta",'Mapa final'!$AE$89="Moderado"),CONCATENATE("R5C",'Mapa final'!$S$89),"")</f>
        <v/>
      </c>
      <c r="W20" s="57" t="str">
        <f ca="1">IF(AND('Mapa final'!$AC$91="Alta",'Mapa final'!$AE$91="Moderado"),CONCATENATE("R5C",'Mapa final'!$S$91),"")</f>
        <v/>
      </c>
      <c r="X20" s="57" t="str">
        <f ca="1">IF(AND('Mapa final'!$AC$92="Alta",'Mapa final'!$AE$92="Moderado"),CONCATENATE("R5C",'Mapa final'!$S$92),"")</f>
        <v/>
      </c>
      <c r="Y20" s="57" t="str">
        <f ca="1">IF(AND('Mapa final'!$AC$95="Alta",'Mapa final'!$AE$95="Moderado"),CONCATENATE("R5C",'Mapa final'!$S$95),"")</f>
        <v/>
      </c>
      <c r="Z20" s="57" t="e">
        <f>IF(AND('Mapa final'!#REF!="Alta",'Mapa final'!#REF!="Moderado"),CONCATENATE("R5C",'Mapa final'!#REF!),"")</f>
        <v>#REF!</v>
      </c>
      <c r="AA20" s="58" t="e">
        <f>IF(AND('Mapa final'!#REF!="Alta",'Mapa final'!#REF!="Moderado"),CONCATENATE("R5C",'Mapa final'!#REF!),"")</f>
        <v>#REF!</v>
      </c>
      <c r="AB20" s="56" t="str">
        <f ca="1">IF(AND('Mapa final'!$AC$89="Alta",'Mapa final'!$AE$89="Mayor"),CONCATENATE("R5C",'Mapa final'!$S$89),"")</f>
        <v/>
      </c>
      <c r="AC20" s="57" t="str">
        <f ca="1">IF(AND('Mapa final'!$AC$91="Alta",'Mapa final'!$AE$91="Mayor"),CONCATENATE("R5C",'Mapa final'!$S$91),"")</f>
        <v/>
      </c>
      <c r="AD20" s="57" t="str">
        <f ca="1">IF(AND('Mapa final'!$AC$92="Alta",'Mapa final'!$AE$92="Mayor"),CONCATENATE("R5C",'Mapa final'!$S$92),"")</f>
        <v/>
      </c>
      <c r="AE20" s="57" t="str">
        <f ca="1">IF(AND('Mapa final'!$AC$95="Alta",'Mapa final'!$AE$95="Mayor"),CONCATENATE("R5C",'Mapa final'!$S$95),"")</f>
        <v/>
      </c>
      <c r="AF20" s="57" t="e">
        <f>IF(AND('Mapa final'!#REF!="Alta",'Mapa final'!#REF!="Mayor"),CONCATENATE("R5C",'Mapa final'!#REF!),"")</f>
        <v>#REF!</v>
      </c>
      <c r="AG20" s="58" t="e">
        <f>IF(AND('Mapa final'!#REF!="Alta",'Mapa final'!#REF!="Mayor"),CONCATENATE("R5C",'Mapa final'!#REF!),"")</f>
        <v>#REF!</v>
      </c>
      <c r="AH20" s="59" t="str">
        <f ca="1">IF(AND('Mapa final'!$AC$89="Alta",'Mapa final'!$AE$89="Catastrófico"),CONCATENATE("R5C",'Mapa final'!$S$89),"")</f>
        <v/>
      </c>
      <c r="AI20" s="60" t="str">
        <f ca="1">IF(AND('Mapa final'!$AC$91="Alta",'Mapa final'!$AE$91="Catastrófico"),CONCATENATE("R5C",'Mapa final'!$S$91),"")</f>
        <v/>
      </c>
      <c r="AJ20" s="60" t="str">
        <f ca="1">IF(AND('Mapa final'!$AC$92="Alta",'Mapa final'!$AE$92="Catastrófico"),CONCATENATE("R5C",'Mapa final'!$S$92),"")</f>
        <v/>
      </c>
      <c r="AK20" s="60" t="str">
        <f ca="1">IF(AND('Mapa final'!$AC$95="Alta",'Mapa final'!$AE$95="Catastrófico"),CONCATENATE("R5C",'Mapa final'!$S$95),"")</f>
        <v/>
      </c>
      <c r="AL20" s="60" t="e">
        <f>IF(AND('Mapa final'!#REF!="Alta",'Mapa final'!#REF!="Catastrófico"),CONCATENATE("R5C",'Mapa final'!#REF!),"")</f>
        <v>#REF!</v>
      </c>
      <c r="AM20" s="61" t="e">
        <f>IF(AND('Mapa final'!#REF!="Alta",'Mapa final'!#REF!="Catastrófico"),CONCATENATE("R5C",'Mapa final'!#REF!),"")</f>
        <v>#REF!</v>
      </c>
      <c r="AN20" s="87"/>
      <c r="AO20" s="784"/>
      <c r="AP20" s="785"/>
      <c r="AQ20" s="785"/>
      <c r="AR20" s="785"/>
      <c r="AS20" s="785"/>
      <c r="AT20" s="786"/>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c r="BS20" s="87"/>
      <c r="BT20" s="87"/>
      <c r="BU20" s="87"/>
      <c r="BV20" s="87"/>
      <c r="BW20" s="87"/>
      <c r="BX20" s="87"/>
    </row>
    <row r="21" spans="1:76" ht="15" customHeight="1" x14ac:dyDescent="0.25">
      <c r="A21" s="87"/>
      <c r="B21" s="695"/>
      <c r="C21" s="695"/>
      <c r="D21" s="696"/>
      <c r="E21" s="794"/>
      <c r="F21" s="793"/>
      <c r="G21" s="793"/>
      <c r="H21" s="793"/>
      <c r="I21" s="793"/>
      <c r="J21" s="71" t="e">
        <f>IF(AND('Mapa final'!#REF!="Alta",'Mapa final'!#REF!="Leve"),CONCATENATE("R6C",'Mapa final'!#REF!),"")</f>
        <v>#REF!</v>
      </c>
      <c r="K21" s="72" t="e">
        <f>IF(AND('Mapa final'!#REF!="Alta",'Mapa final'!#REF!="Leve"),CONCATENATE("R6C",'Mapa final'!#REF!),"")</f>
        <v>#REF!</v>
      </c>
      <c r="L21" s="72" t="e">
        <f>IF(AND('Mapa final'!#REF!="Alta",'Mapa final'!#REF!="Leve"),CONCATENATE("R6C",'Mapa final'!#REF!),"")</f>
        <v>#REF!</v>
      </c>
      <c r="M21" s="72" t="e">
        <f>IF(AND('Mapa final'!#REF!="Alta",'Mapa final'!#REF!="Leve"),CONCATENATE("R6C",'Mapa final'!#REF!),"")</f>
        <v>#REF!</v>
      </c>
      <c r="N21" s="72" t="e">
        <f>IF(AND('Mapa final'!#REF!="Alta",'Mapa final'!#REF!="Leve"),CONCATENATE("R6C",'Mapa final'!#REF!),"")</f>
        <v>#REF!</v>
      </c>
      <c r="O21" s="73" t="e">
        <f>IF(AND('Mapa final'!#REF!="Alta",'Mapa final'!#REF!="Leve"),CONCATENATE("R6C",'Mapa final'!#REF!),"")</f>
        <v>#REF!</v>
      </c>
      <c r="P21" s="71" t="e">
        <f>IF(AND('Mapa final'!#REF!="Alta",'Mapa final'!#REF!="Menor"),CONCATENATE("R6C",'Mapa final'!#REF!),"")</f>
        <v>#REF!</v>
      </c>
      <c r="Q21" s="72" t="e">
        <f>IF(AND('Mapa final'!#REF!="Alta",'Mapa final'!#REF!="Menor"),CONCATENATE("R6C",'Mapa final'!#REF!),"")</f>
        <v>#REF!</v>
      </c>
      <c r="R21" s="72" t="e">
        <f>IF(AND('Mapa final'!#REF!="Alta",'Mapa final'!#REF!="Menor"),CONCATENATE("R6C",'Mapa final'!#REF!),"")</f>
        <v>#REF!</v>
      </c>
      <c r="S21" s="72" t="e">
        <f>IF(AND('Mapa final'!#REF!="Alta",'Mapa final'!#REF!="Menor"),CONCATENATE("R6C",'Mapa final'!#REF!),"")</f>
        <v>#REF!</v>
      </c>
      <c r="T21" s="72" t="e">
        <f>IF(AND('Mapa final'!#REF!="Alta",'Mapa final'!#REF!="Menor"),CONCATENATE("R6C",'Mapa final'!#REF!),"")</f>
        <v>#REF!</v>
      </c>
      <c r="U21" s="73" t="e">
        <f>IF(AND('Mapa final'!#REF!="Alta",'Mapa final'!#REF!="Menor"),CONCATENATE("R6C",'Mapa final'!#REF!),"")</f>
        <v>#REF!</v>
      </c>
      <c r="V21" s="56" t="e">
        <f>IF(AND('Mapa final'!#REF!="Alta",'Mapa final'!#REF!="Moderado"),CONCATENATE("R6C",'Mapa final'!#REF!),"")</f>
        <v>#REF!</v>
      </c>
      <c r="W21" s="57" t="e">
        <f>IF(AND('Mapa final'!#REF!="Alta",'Mapa final'!#REF!="Moderado"),CONCATENATE("R6C",'Mapa final'!#REF!),"")</f>
        <v>#REF!</v>
      </c>
      <c r="X21" s="57" t="e">
        <f>IF(AND('Mapa final'!#REF!="Alta",'Mapa final'!#REF!="Moderado"),CONCATENATE("R6C",'Mapa final'!#REF!),"")</f>
        <v>#REF!</v>
      </c>
      <c r="Y21" s="57" t="e">
        <f>IF(AND('Mapa final'!#REF!="Alta",'Mapa final'!#REF!="Moderado"),CONCATENATE("R6C",'Mapa final'!#REF!),"")</f>
        <v>#REF!</v>
      </c>
      <c r="Z21" s="57" t="e">
        <f>IF(AND('Mapa final'!#REF!="Alta",'Mapa final'!#REF!="Moderado"),CONCATENATE("R6C",'Mapa final'!#REF!),"")</f>
        <v>#REF!</v>
      </c>
      <c r="AA21" s="58" t="e">
        <f>IF(AND('Mapa final'!#REF!="Alta",'Mapa final'!#REF!="Moderado"),CONCATENATE("R6C",'Mapa final'!#REF!),"")</f>
        <v>#REF!</v>
      </c>
      <c r="AB21" s="56" t="e">
        <f>IF(AND('Mapa final'!#REF!="Alta",'Mapa final'!#REF!="Mayor"),CONCATENATE("R6C",'Mapa final'!#REF!),"")</f>
        <v>#REF!</v>
      </c>
      <c r="AC21" s="57" t="e">
        <f>IF(AND('Mapa final'!#REF!="Alta",'Mapa final'!#REF!="Mayor"),CONCATENATE("R6C",'Mapa final'!#REF!),"")</f>
        <v>#REF!</v>
      </c>
      <c r="AD21" s="57" t="e">
        <f>IF(AND('Mapa final'!#REF!="Alta",'Mapa final'!#REF!="Mayor"),CONCATENATE("R6C",'Mapa final'!#REF!),"")</f>
        <v>#REF!</v>
      </c>
      <c r="AE21" s="57" t="e">
        <f>IF(AND('Mapa final'!#REF!="Alta",'Mapa final'!#REF!="Mayor"),CONCATENATE("R6C",'Mapa final'!#REF!),"")</f>
        <v>#REF!</v>
      </c>
      <c r="AF21" s="57" t="e">
        <f>IF(AND('Mapa final'!#REF!="Alta",'Mapa final'!#REF!="Mayor"),CONCATENATE("R6C",'Mapa final'!#REF!),"")</f>
        <v>#REF!</v>
      </c>
      <c r="AG21" s="58" t="e">
        <f>IF(AND('Mapa final'!#REF!="Alta",'Mapa final'!#REF!="Mayor"),CONCATENATE("R6C",'Mapa final'!#REF!),"")</f>
        <v>#REF!</v>
      </c>
      <c r="AH21" s="59" t="e">
        <f>IF(AND('Mapa final'!#REF!="Alta",'Mapa final'!#REF!="Catastrófico"),CONCATENATE("R6C",'Mapa final'!#REF!),"")</f>
        <v>#REF!</v>
      </c>
      <c r="AI21" s="60" t="e">
        <f>IF(AND('Mapa final'!#REF!="Alta",'Mapa final'!#REF!="Catastrófico"),CONCATENATE("R6C",'Mapa final'!#REF!),"")</f>
        <v>#REF!</v>
      </c>
      <c r="AJ21" s="60" t="e">
        <f>IF(AND('Mapa final'!#REF!="Alta",'Mapa final'!#REF!="Catastrófico"),CONCATENATE("R6C",'Mapa final'!#REF!),"")</f>
        <v>#REF!</v>
      </c>
      <c r="AK21" s="60" t="e">
        <f>IF(AND('Mapa final'!#REF!="Alta",'Mapa final'!#REF!="Catastrófico"),CONCATENATE("R6C",'Mapa final'!#REF!),"")</f>
        <v>#REF!</v>
      </c>
      <c r="AL21" s="60" t="e">
        <f>IF(AND('Mapa final'!#REF!="Alta",'Mapa final'!#REF!="Catastrófico"),CONCATENATE("R6C",'Mapa final'!#REF!),"")</f>
        <v>#REF!</v>
      </c>
      <c r="AM21" s="61" t="e">
        <f>IF(AND('Mapa final'!#REF!="Alta",'Mapa final'!#REF!="Catastrófico"),CONCATENATE("R6C",'Mapa final'!#REF!),"")</f>
        <v>#REF!</v>
      </c>
      <c r="AN21" s="87"/>
      <c r="AO21" s="784"/>
      <c r="AP21" s="785"/>
      <c r="AQ21" s="785"/>
      <c r="AR21" s="785"/>
      <c r="AS21" s="785"/>
      <c r="AT21" s="786"/>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c r="BS21" s="87"/>
      <c r="BT21" s="87"/>
      <c r="BU21" s="87"/>
      <c r="BV21" s="87"/>
      <c r="BW21" s="87"/>
      <c r="BX21" s="87"/>
    </row>
    <row r="22" spans="1:76" ht="15" customHeight="1" x14ac:dyDescent="0.25">
      <c r="A22" s="87"/>
      <c r="B22" s="695"/>
      <c r="C22" s="695"/>
      <c r="D22" s="696"/>
      <c r="E22" s="794"/>
      <c r="F22" s="793"/>
      <c r="G22" s="793"/>
      <c r="H22" s="793"/>
      <c r="I22" s="793"/>
      <c r="J22" s="71" t="e">
        <f>IF(AND('Mapa final'!#REF!="Alta",'Mapa final'!#REF!="Leve"),CONCATENATE("R7C",'Mapa final'!#REF!),"")</f>
        <v>#REF!</v>
      </c>
      <c r="K22" s="72" t="e">
        <f>IF(AND('Mapa final'!#REF!="Alta",'Mapa final'!#REF!="Leve"),CONCATENATE("R7C",'Mapa final'!#REF!),"")</f>
        <v>#REF!</v>
      </c>
      <c r="L22" s="72" t="e">
        <f>IF(AND('Mapa final'!#REF!="Alta",'Mapa final'!#REF!="Leve"),CONCATENATE("R7C",'Mapa final'!#REF!),"")</f>
        <v>#REF!</v>
      </c>
      <c r="M22" s="72" t="e">
        <f>IF(AND('Mapa final'!#REF!="Alta",'Mapa final'!#REF!="Leve"),CONCATENATE("R7C",'Mapa final'!#REF!),"")</f>
        <v>#REF!</v>
      </c>
      <c r="N22" s="72" t="e">
        <f>IF(AND('Mapa final'!#REF!="Alta",'Mapa final'!#REF!="Leve"),CONCATENATE("R7C",'Mapa final'!#REF!),"")</f>
        <v>#REF!</v>
      </c>
      <c r="O22" s="73" t="e">
        <f>IF(AND('Mapa final'!#REF!="Alta",'Mapa final'!#REF!="Leve"),CONCATENATE("R7C",'Mapa final'!#REF!),"")</f>
        <v>#REF!</v>
      </c>
      <c r="P22" s="71" t="e">
        <f>IF(AND('Mapa final'!#REF!="Alta",'Mapa final'!#REF!="Menor"),CONCATENATE("R7C",'Mapa final'!#REF!),"")</f>
        <v>#REF!</v>
      </c>
      <c r="Q22" s="72" t="e">
        <f>IF(AND('Mapa final'!#REF!="Alta",'Mapa final'!#REF!="Menor"),CONCATENATE("R7C",'Mapa final'!#REF!),"")</f>
        <v>#REF!</v>
      </c>
      <c r="R22" s="72" t="e">
        <f>IF(AND('Mapa final'!#REF!="Alta",'Mapa final'!#REF!="Menor"),CONCATENATE("R7C",'Mapa final'!#REF!),"")</f>
        <v>#REF!</v>
      </c>
      <c r="S22" s="72" t="e">
        <f>IF(AND('Mapa final'!#REF!="Alta",'Mapa final'!#REF!="Menor"),CONCATENATE("R7C",'Mapa final'!#REF!),"")</f>
        <v>#REF!</v>
      </c>
      <c r="T22" s="72" t="e">
        <f>IF(AND('Mapa final'!#REF!="Alta",'Mapa final'!#REF!="Menor"),CONCATENATE("R7C",'Mapa final'!#REF!),"")</f>
        <v>#REF!</v>
      </c>
      <c r="U22" s="73" t="e">
        <f>IF(AND('Mapa final'!#REF!="Alta",'Mapa final'!#REF!="Menor"),CONCATENATE("R7C",'Mapa final'!#REF!),"")</f>
        <v>#REF!</v>
      </c>
      <c r="V22" s="56" t="e">
        <f>IF(AND('Mapa final'!#REF!="Alta",'Mapa final'!#REF!="Moderado"),CONCATENATE("R7C",'Mapa final'!#REF!),"")</f>
        <v>#REF!</v>
      </c>
      <c r="W22" s="57" t="e">
        <f>IF(AND('Mapa final'!#REF!="Alta",'Mapa final'!#REF!="Moderado"),CONCATENATE("R7C",'Mapa final'!#REF!),"")</f>
        <v>#REF!</v>
      </c>
      <c r="X22" s="57" t="e">
        <f>IF(AND('Mapa final'!#REF!="Alta",'Mapa final'!#REF!="Moderado"),CONCATENATE("R7C",'Mapa final'!#REF!),"")</f>
        <v>#REF!</v>
      </c>
      <c r="Y22" s="57" t="e">
        <f>IF(AND('Mapa final'!#REF!="Alta",'Mapa final'!#REF!="Moderado"),CONCATENATE("R7C",'Mapa final'!#REF!),"")</f>
        <v>#REF!</v>
      </c>
      <c r="Z22" s="57" t="e">
        <f>IF(AND('Mapa final'!#REF!="Alta",'Mapa final'!#REF!="Moderado"),CONCATENATE("R7C",'Mapa final'!#REF!),"")</f>
        <v>#REF!</v>
      </c>
      <c r="AA22" s="58" t="e">
        <f>IF(AND('Mapa final'!#REF!="Alta",'Mapa final'!#REF!="Moderado"),CONCATENATE("R7C",'Mapa final'!#REF!),"")</f>
        <v>#REF!</v>
      </c>
      <c r="AB22" s="56" t="e">
        <f>IF(AND('Mapa final'!#REF!="Alta",'Mapa final'!#REF!="Mayor"),CONCATENATE("R7C",'Mapa final'!#REF!),"")</f>
        <v>#REF!</v>
      </c>
      <c r="AC22" s="57" t="e">
        <f>IF(AND('Mapa final'!#REF!="Alta",'Mapa final'!#REF!="Mayor"),CONCATENATE("R7C",'Mapa final'!#REF!),"")</f>
        <v>#REF!</v>
      </c>
      <c r="AD22" s="57" t="e">
        <f>IF(AND('Mapa final'!#REF!="Alta",'Mapa final'!#REF!="Mayor"),CONCATENATE("R7C",'Mapa final'!#REF!),"")</f>
        <v>#REF!</v>
      </c>
      <c r="AE22" s="57" t="e">
        <f>IF(AND('Mapa final'!#REF!="Alta",'Mapa final'!#REF!="Mayor"),CONCATENATE("R7C",'Mapa final'!#REF!),"")</f>
        <v>#REF!</v>
      </c>
      <c r="AF22" s="57" t="e">
        <f>IF(AND('Mapa final'!#REF!="Alta",'Mapa final'!#REF!="Mayor"),CONCATENATE("R7C",'Mapa final'!#REF!),"")</f>
        <v>#REF!</v>
      </c>
      <c r="AG22" s="58" t="e">
        <f>IF(AND('Mapa final'!#REF!="Alta",'Mapa final'!#REF!="Mayor"),CONCATENATE("R7C",'Mapa final'!#REF!),"")</f>
        <v>#REF!</v>
      </c>
      <c r="AH22" s="59" t="e">
        <f>IF(AND('Mapa final'!#REF!="Alta",'Mapa final'!#REF!="Catastrófico"),CONCATENATE("R7C",'Mapa final'!#REF!),"")</f>
        <v>#REF!</v>
      </c>
      <c r="AI22" s="60" t="e">
        <f>IF(AND('Mapa final'!#REF!="Alta",'Mapa final'!#REF!="Catastrófico"),CONCATENATE("R7C",'Mapa final'!#REF!),"")</f>
        <v>#REF!</v>
      </c>
      <c r="AJ22" s="60" t="e">
        <f>IF(AND('Mapa final'!#REF!="Alta",'Mapa final'!#REF!="Catastrófico"),CONCATENATE("R7C",'Mapa final'!#REF!),"")</f>
        <v>#REF!</v>
      </c>
      <c r="AK22" s="60" t="e">
        <f>IF(AND('Mapa final'!#REF!="Alta",'Mapa final'!#REF!="Catastrófico"),CONCATENATE("R7C",'Mapa final'!#REF!),"")</f>
        <v>#REF!</v>
      </c>
      <c r="AL22" s="60" t="e">
        <f>IF(AND('Mapa final'!#REF!="Alta",'Mapa final'!#REF!="Catastrófico"),CONCATENATE("R7C",'Mapa final'!#REF!),"")</f>
        <v>#REF!</v>
      </c>
      <c r="AM22" s="61" t="e">
        <f>IF(AND('Mapa final'!#REF!="Alta",'Mapa final'!#REF!="Catastrófico"),CONCATENATE("R7C",'Mapa final'!#REF!),"")</f>
        <v>#REF!</v>
      </c>
      <c r="AN22" s="87"/>
      <c r="AO22" s="784"/>
      <c r="AP22" s="785"/>
      <c r="AQ22" s="785"/>
      <c r="AR22" s="785"/>
      <c r="AS22" s="785"/>
      <c r="AT22" s="786"/>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7"/>
      <c r="BW22" s="87"/>
      <c r="BX22" s="87"/>
    </row>
    <row r="23" spans="1:76" ht="15" customHeight="1" x14ac:dyDescent="0.25">
      <c r="A23" s="87"/>
      <c r="B23" s="695"/>
      <c r="C23" s="695"/>
      <c r="D23" s="696"/>
      <c r="E23" s="794"/>
      <c r="F23" s="793"/>
      <c r="G23" s="793"/>
      <c r="H23" s="793"/>
      <c r="I23" s="793"/>
      <c r="J23" s="71" t="e">
        <f>IF(AND('Mapa final'!#REF!="Alta",'Mapa final'!#REF!="Leve"),CONCATENATE("R8C",'Mapa final'!#REF!),"")</f>
        <v>#REF!</v>
      </c>
      <c r="K23" s="72" t="e">
        <f>IF(AND('Mapa final'!#REF!="Alta",'Mapa final'!#REF!="Leve"),CONCATENATE("R8C",'Mapa final'!#REF!),"")</f>
        <v>#REF!</v>
      </c>
      <c r="L23" s="72" t="e">
        <f>IF(AND('Mapa final'!#REF!="Alta",'Mapa final'!#REF!="Leve"),CONCATENATE("R8C",'Mapa final'!#REF!),"")</f>
        <v>#REF!</v>
      </c>
      <c r="M23" s="72" t="e">
        <f>IF(AND('Mapa final'!#REF!="Alta",'Mapa final'!#REF!="Leve"),CONCATENATE("R8C",'Mapa final'!#REF!),"")</f>
        <v>#REF!</v>
      </c>
      <c r="N23" s="72" t="e">
        <f>IF(AND('Mapa final'!#REF!="Alta",'Mapa final'!#REF!="Leve"),CONCATENATE("R8C",'Mapa final'!#REF!),"")</f>
        <v>#REF!</v>
      </c>
      <c r="O23" s="73" t="e">
        <f>IF(AND('Mapa final'!#REF!="Alta",'Mapa final'!#REF!="Leve"),CONCATENATE("R8C",'Mapa final'!#REF!),"")</f>
        <v>#REF!</v>
      </c>
      <c r="P23" s="71" t="e">
        <f>IF(AND('Mapa final'!#REF!="Alta",'Mapa final'!#REF!="Menor"),CONCATENATE("R8C",'Mapa final'!#REF!),"")</f>
        <v>#REF!</v>
      </c>
      <c r="Q23" s="72" t="e">
        <f>IF(AND('Mapa final'!#REF!="Alta",'Mapa final'!#REF!="Menor"),CONCATENATE("R8C",'Mapa final'!#REF!),"")</f>
        <v>#REF!</v>
      </c>
      <c r="R23" s="72" t="e">
        <f>IF(AND('Mapa final'!#REF!="Alta",'Mapa final'!#REF!="Menor"),CONCATENATE("R8C",'Mapa final'!#REF!),"")</f>
        <v>#REF!</v>
      </c>
      <c r="S23" s="72" t="e">
        <f>IF(AND('Mapa final'!#REF!="Alta",'Mapa final'!#REF!="Menor"),CONCATENATE("R8C",'Mapa final'!#REF!),"")</f>
        <v>#REF!</v>
      </c>
      <c r="T23" s="72" t="e">
        <f>IF(AND('Mapa final'!#REF!="Alta",'Mapa final'!#REF!="Menor"),CONCATENATE("R8C",'Mapa final'!#REF!),"")</f>
        <v>#REF!</v>
      </c>
      <c r="U23" s="73" t="e">
        <f>IF(AND('Mapa final'!#REF!="Alta",'Mapa final'!#REF!="Menor"),CONCATENATE("R8C",'Mapa final'!#REF!),"")</f>
        <v>#REF!</v>
      </c>
      <c r="V23" s="56" t="e">
        <f>IF(AND('Mapa final'!#REF!="Alta",'Mapa final'!#REF!="Moderado"),CONCATENATE("R8C",'Mapa final'!#REF!),"")</f>
        <v>#REF!</v>
      </c>
      <c r="W23" s="57" t="e">
        <f>IF(AND('Mapa final'!#REF!="Alta",'Mapa final'!#REF!="Moderado"),CONCATENATE("R8C",'Mapa final'!#REF!),"")</f>
        <v>#REF!</v>
      </c>
      <c r="X23" s="57" t="e">
        <f>IF(AND('Mapa final'!#REF!="Alta",'Mapa final'!#REF!="Moderado"),CONCATENATE("R8C",'Mapa final'!#REF!),"")</f>
        <v>#REF!</v>
      </c>
      <c r="Y23" s="57" t="e">
        <f>IF(AND('Mapa final'!#REF!="Alta",'Mapa final'!#REF!="Moderado"),CONCATENATE("R8C",'Mapa final'!#REF!),"")</f>
        <v>#REF!</v>
      </c>
      <c r="Z23" s="57" t="e">
        <f>IF(AND('Mapa final'!#REF!="Alta",'Mapa final'!#REF!="Moderado"),CONCATENATE("R8C",'Mapa final'!#REF!),"")</f>
        <v>#REF!</v>
      </c>
      <c r="AA23" s="58" t="e">
        <f>IF(AND('Mapa final'!#REF!="Alta",'Mapa final'!#REF!="Moderado"),CONCATENATE("R8C",'Mapa final'!#REF!),"")</f>
        <v>#REF!</v>
      </c>
      <c r="AB23" s="56" t="e">
        <f>IF(AND('Mapa final'!#REF!="Alta",'Mapa final'!#REF!="Mayor"),CONCATENATE("R8C",'Mapa final'!#REF!),"")</f>
        <v>#REF!</v>
      </c>
      <c r="AC23" s="57" t="e">
        <f>IF(AND('Mapa final'!#REF!="Alta",'Mapa final'!#REF!="Mayor"),CONCATENATE("R8C",'Mapa final'!#REF!),"")</f>
        <v>#REF!</v>
      </c>
      <c r="AD23" s="57" t="e">
        <f>IF(AND('Mapa final'!#REF!="Alta",'Mapa final'!#REF!="Mayor"),CONCATENATE("R8C",'Mapa final'!#REF!),"")</f>
        <v>#REF!</v>
      </c>
      <c r="AE23" s="57" t="e">
        <f>IF(AND('Mapa final'!#REF!="Alta",'Mapa final'!#REF!="Mayor"),CONCATENATE("R8C",'Mapa final'!#REF!),"")</f>
        <v>#REF!</v>
      </c>
      <c r="AF23" s="57" t="e">
        <f>IF(AND('Mapa final'!#REF!="Alta",'Mapa final'!#REF!="Mayor"),CONCATENATE("R8C",'Mapa final'!#REF!),"")</f>
        <v>#REF!</v>
      </c>
      <c r="AG23" s="58" t="e">
        <f>IF(AND('Mapa final'!#REF!="Alta",'Mapa final'!#REF!="Mayor"),CONCATENATE("R8C",'Mapa final'!#REF!),"")</f>
        <v>#REF!</v>
      </c>
      <c r="AH23" s="59" t="e">
        <f>IF(AND('Mapa final'!#REF!="Alta",'Mapa final'!#REF!="Catastrófico"),CONCATENATE("R8C",'Mapa final'!#REF!),"")</f>
        <v>#REF!</v>
      </c>
      <c r="AI23" s="60" t="e">
        <f>IF(AND('Mapa final'!#REF!="Alta",'Mapa final'!#REF!="Catastrófico"),CONCATENATE("R8C",'Mapa final'!#REF!),"")</f>
        <v>#REF!</v>
      </c>
      <c r="AJ23" s="60" t="e">
        <f>IF(AND('Mapa final'!#REF!="Alta",'Mapa final'!#REF!="Catastrófico"),CONCATENATE("R8C",'Mapa final'!#REF!),"")</f>
        <v>#REF!</v>
      </c>
      <c r="AK23" s="60" t="e">
        <f>IF(AND('Mapa final'!#REF!="Alta",'Mapa final'!#REF!="Catastrófico"),CONCATENATE("R8C",'Mapa final'!#REF!),"")</f>
        <v>#REF!</v>
      </c>
      <c r="AL23" s="60" t="e">
        <f>IF(AND('Mapa final'!#REF!="Alta",'Mapa final'!#REF!="Catastrófico"),CONCATENATE("R8C",'Mapa final'!#REF!),"")</f>
        <v>#REF!</v>
      </c>
      <c r="AM23" s="61" t="e">
        <f>IF(AND('Mapa final'!#REF!="Alta",'Mapa final'!#REF!="Catastrófico"),CONCATENATE("R8C",'Mapa final'!#REF!),"")</f>
        <v>#REF!</v>
      </c>
      <c r="AN23" s="87"/>
      <c r="AO23" s="784"/>
      <c r="AP23" s="785"/>
      <c r="AQ23" s="785"/>
      <c r="AR23" s="785"/>
      <c r="AS23" s="785"/>
      <c r="AT23" s="786"/>
      <c r="AU23" s="87"/>
      <c r="AV23" s="87"/>
      <c r="AW23" s="87"/>
      <c r="AX23" s="87"/>
      <c r="AY23" s="87"/>
      <c r="AZ23" s="87"/>
      <c r="BA23" s="87"/>
      <c r="BB23" s="87"/>
      <c r="BC23" s="87"/>
      <c r="BD23" s="87"/>
      <c r="BE23" s="87"/>
      <c r="BF23" s="87"/>
      <c r="BG23" s="87"/>
      <c r="BH23" s="87"/>
      <c r="BI23" s="87"/>
      <c r="BJ23" s="87"/>
      <c r="BK23" s="87"/>
      <c r="BL23" s="87"/>
      <c r="BM23" s="87"/>
      <c r="BN23" s="87"/>
      <c r="BO23" s="87"/>
      <c r="BP23" s="87"/>
      <c r="BQ23" s="87"/>
      <c r="BR23" s="87"/>
      <c r="BS23" s="87"/>
      <c r="BT23" s="87"/>
      <c r="BU23" s="87"/>
      <c r="BV23" s="87"/>
      <c r="BW23" s="87"/>
      <c r="BX23" s="87"/>
    </row>
    <row r="24" spans="1:76" ht="15" customHeight="1" x14ac:dyDescent="0.25">
      <c r="A24" s="87"/>
      <c r="B24" s="695"/>
      <c r="C24" s="695"/>
      <c r="D24" s="696"/>
      <c r="E24" s="794"/>
      <c r="F24" s="793"/>
      <c r="G24" s="793"/>
      <c r="H24" s="793"/>
      <c r="I24" s="793"/>
      <c r="J24" s="71" t="e">
        <f>IF(AND('Mapa final'!#REF!="Alta",'Mapa final'!#REF!="Leve"),CONCATENATE("R9C",'Mapa final'!#REF!),"")</f>
        <v>#REF!</v>
      </c>
      <c r="K24" s="72" t="e">
        <f>IF(AND('Mapa final'!#REF!="Alta",'Mapa final'!#REF!="Leve"),CONCATENATE("R9C",'Mapa final'!#REF!),"")</f>
        <v>#REF!</v>
      </c>
      <c r="L24" s="72" t="e">
        <f>IF(AND('Mapa final'!#REF!="Alta",'Mapa final'!#REF!="Leve"),CONCATENATE("R9C",'Mapa final'!#REF!),"")</f>
        <v>#REF!</v>
      </c>
      <c r="M24" s="72" t="e">
        <f>IF(AND('Mapa final'!#REF!="Alta",'Mapa final'!#REF!="Leve"),CONCATENATE("R9C",'Mapa final'!#REF!),"")</f>
        <v>#REF!</v>
      </c>
      <c r="N24" s="72" t="e">
        <f>IF(AND('Mapa final'!#REF!="Alta",'Mapa final'!#REF!="Leve"),CONCATENATE("R9C",'Mapa final'!#REF!),"")</f>
        <v>#REF!</v>
      </c>
      <c r="O24" s="73" t="e">
        <f>IF(AND('Mapa final'!#REF!="Alta",'Mapa final'!#REF!="Leve"),CONCATENATE("R9C",'Mapa final'!#REF!),"")</f>
        <v>#REF!</v>
      </c>
      <c r="P24" s="71" t="e">
        <f>IF(AND('Mapa final'!#REF!="Alta",'Mapa final'!#REF!="Menor"),CONCATENATE("R9C",'Mapa final'!#REF!),"")</f>
        <v>#REF!</v>
      </c>
      <c r="Q24" s="72" t="e">
        <f>IF(AND('Mapa final'!#REF!="Alta",'Mapa final'!#REF!="Menor"),CONCATENATE("R9C",'Mapa final'!#REF!),"")</f>
        <v>#REF!</v>
      </c>
      <c r="R24" s="72" t="e">
        <f>IF(AND('Mapa final'!#REF!="Alta",'Mapa final'!#REF!="Menor"),CONCATENATE("R9C",'Mapa final'!#REF!),"")</f>
        <v>#REF!</v>
      </c>
      <c r="S24" s="72" t="e">
        <f>IF(AND('Mapa final'!#REF!="Alta",'Mapa final'!#REF!="Menor"),CONCATENATE("R9C",'Mapa final'!#REF!),"")</f>
        <v>#REF!</v>
      </c>
      <c r="T24" s="72" t="e">
        <f>IF(AND('Mapa final'!#REF!="Alta",'Mapa final'!#REF!="Menor"),CONCATENATE("R9C",'Mapa final'!#REF!),"")</f>
        <v>#REF!</v>
      </c>
      <c r="U24" s="73" t="e">
        <f>IF(AND('Mapa final'!#REF!="Alta",'Mapa final'!#REF!="Menor"),CONCATENATE("R9C",'Mapa final'!#REF!),"")</f>
        <v>#REF!</v>
      </c>
      <c r="V24" s="56" t="e">
        <f>IF(AND('Mapa final'!#REF!="Alta",'Mapa final'!#REF!="Moderado"),CONCATENATE("R9C",'Mapa final'!#REF!),"")</f>
        <v>#REF!</v>
      </c>
      <c r="W24" s="57" t="e">
        <f>IF(AND('Mapa final'!#REF!="Alta",'Mapa final'!#REF!="Moderado"),CONCATENATE("R9C",'Mapa final'!#REF!),"")</f>
        <v>#REF!</v>
      </c>
      <c r="X24" s="57" t="e">
        <f>IF(AND('Mapa final'!#REF!="Alta",'Mapa final'!#REF!="Moderado"),CONCATENATE("R9C",'Mapa final'!#REF!),"")</f>
        <v>#REF!</v>
      </c>
      <c r="Y24" s="57" t="e">
        <f>IF(AND('Mapa final'!#REF!="Alta",'Mapa final'!#REF!="Moderado"),CONCATENATE("R9C",'Mapa final'!#REF!),"")</f>
        <v>#REF!</v>
      </c>
      <c r="Z24" s="57" t="e">
        <f>IF(AND('Mapa final'!#REF!="Alta",'Mapa final'!#REF!="Moderado"),CONCATENATE("R9C",'Mapa final'!#REF!),"")</f>
        <v>#REF!</v>
      </c>
      <c r="AA24" s="58" t="e">
        <f>IF(AND('Mapa final'!#REF!="Alta",'Mapa final'!#REF!="Moderado"),CONCATENATE("R9C",'Mapa final'!#REF!),"")</f>
        <v>#REF!</v>
      </c>
      <c r="AB24" s="56" t="e">
        <f>IF(AND('Mapa final'!#REF!="Alta",'Mapa final'!#REF!="Mayor"),CONCATENATE("R9C",'Mapa final'!#REF!),"")</f>
        <v>#REF!</v>
      </c>
      <c r="AC24" s="57" t="e">
        <f>IF(AND('Mapa final'!#REF!="Alta",'Mapa final'!#REF!="Mayor"),CONCATENATE("R9C",'Mapa final'!#REF!),"")</f>
        <v>#REF!</v>
      </c>
      <c r="AD24" s="57" t="e">
        <f>IF(AND('Mapa final'!#REF!="Alta",'Mapa final'!#REF!="Mayor"),CONCATENATE("R9C",'Mapa final'!#REF!),"")</f>
        <v>#REF!</v>
      </c>
      <c r="AE24" s="57" t="e">
        <f>IF(AND('Mapa final'!#REF!="Alta",'Mapa final'!#REF!="Mayor"),CONCATENATE("R9C",'Mapa final'!#REF!),"")</f>
        <v>#REF!</v>
      </c>
      <c r="AF24" s="57" t="e">
        <f>IF(AND('Mapa final'!#REF!="Alta",'Mapa final'!#REF!="Mayor"),CONCATENATE("R9C",'Mapa final'!#REF!),"")</f>
        <v>#REF!</v>
      </c>
      <c r="AG24" s="58" t="e">
        <f>IF(AND('Mapa final'!#REF!="Alta",'Mapa final'!#REF!="Mayor"),CONCATENATE("R9C",'Mapa final'!#REF!),"")</f>
        <v>#REF!</v>
      </c>
      <c r="AH24" s="59" t="e">
        <f>IF(AND('Mapa final'!#REF!="Alta",'Mapa final'!#REF!="Catastrófico"),CONCATENATE("R9C",'Mapa final'!#REF!),"")</f>
        <v>#REF!</v>
      </c>
      <c r="AI24" s="60" t="e">
        <f>IF(AND('Mapa final'!#REF!="Alta",'Mapa final'!#REF!="Catastrófico"),CONCATENATE("R9C",'Mapa final'!#REF!),"")</f>
        <v>#REF!</v>
      </c>
      <c r="AJ24" s="60" t="e">
        <f>IF(AND('Mapa final'!#REF!="Alta",'Mapa final'!#REF!="Catastrófico"),CONCATENATE("R9C",'Mapa final'!#REF!),"")</f>
        <v>#REF!</v>
      </c>
      <c r="AK24" s="60" t="e">
        <f>IF(AND('Mapa final'!#REF!="Alta",'Mapa final'!#REF!="Catastrófico"),CONCATENATE("R9C",'Mapa final'!#REF!),"")</f>
        <v>#REF!</v>
      </c>
      <c r="AL24" s="60" t="e">
        <f>IF(AND('Mapa final'!#REF!="Alta",'Mapa final'!#REF!="Catastrófico"),CONCATENATE("R9C",'Mapa final'!#REF!),"")</f>
        <v>#REF!</v>
      </c>
      <c r="AM24" s="61" t="e">
        <f>IF(AND('Mapa final'!#REF!="Alta",'Mapa final'!#REF!="Catastrófico"),CONCATENATE("R9C",'Mapa final'!#REF!),"")</f>
        <v>#REF!</v>
      </c>
      <c r="AN24" s="87"/>
      <c r="AO24" s="784"/>
      <c r="AP24" s="785"/>
      <c r="AQ24" s="785"/>
      <c r="AR24" s="785"/>
      <c r="AS24" s="785"/>
      <c r="AT24" s="786"/>
      <c r="AU24" s="87"/>
      <c r="AV24" s="87"/>
      <c r="AW24" s="87"/>
      <c r="AX24" s="87"/>
      <c r="AY24" s="87"/>
      <c r="AZ24" s="87"/>
      <c r="BA24" s="87"/>
      <c r="BB24" s="87"/>
      <c r="BC24" s="87"/>
      <c r="BD24" s="87"/>
      <c r="BE24" s="87"/>
      <c r="BF24" s="87"/>
      <c r="BG24" s="87"/>
      <c r="BH24" s="87"/>
      <c r="BI24" s="87"/>
      <c r="BJ24" s="87"/>
      <c r="BK24" s="87"/>
      <c r="BL24" s="87"/>
      <c r="BM24" s="87"/>
      <c r="BN24" s="87"/>
      <c r="BO24" s="87"/>
      <c r="BP24" s="87"/>
      <c r="BQ24" s="87"/>
      <c r="BR24" s="87"/>
      <c r="BS24" s="87"/>
      <c r="BT24" s="87"/>
      <c r="BU24" s="87"/>
      <c r="BV24" s="87"/>
      <c r="BW24" s="87"/>
      <c r="BX24" s="87"/>
    </row>
    <row r="25" spans="1:76" ht="15.75" customHeight="1" thickBot="1" x14ac:dyDescent="0.3">
      <c r="A25" s="87"/>
      <c r="B25" s="695"/>
      <c r="C25" s="695"/>
      <c r="D25" s="696"/>
      <c r="E25" s="795"/>
      <c r="F25" s="796"/>
      <c r="G25" s="796"/>
      <c r="H25" s="796"/>
      <c r="I25" s="796"/>
      <c r="J25" s="74" t="e">
        <f>IF(AND('Mapa final'!#REF!="Alta",'Mapa final'!#REF!="Leve"),CONCATENATE("R10C",'Mapa final'!#REF!),"")</f>
        <v>#REF!</v>
      </c>
      <c r="K25" s="75" t="e">
        <f>IF(AND('Mapa final'!#REF!="Alta",'Mapa final'!#REF!="Leve"),CONCATENATE("R10C",'Mapa final'!#REF!),"")</f>
        <v>#REF!</v>
      </c>
      <c r="L25" s="75" t="e">
        <f>IF(AND('Mapa final'!#REF!="Alta",'Mapa final'!#REF!="Leve"),CONCATENATE("R10C",'Mapa final'!#REF!),"")</f>
        <v>#REF!</v>
      </c>
      <c r="M25" s="75" t="e">
        <f>IF(AND('Mapa final'!#REF!="Alta",'Mapa final'!#REF!="Leve"),CONCATENATE("R10C",'Mapa final'!#REF!),"")</f>
        <v>#REF!</v>
      </c>
      <c r="N25" s="75" t="e">
        <f>IF(AND('Mapa final'!#REF!="Alta",'Mapa final'!#REF!="Leve"),CONCATENATE("R10C",'Mapa final'!#REF!),"")</f>
        <v>#REF!</v>
      </c>
      <c r="O25" s="76" t="e">
        <f>IF(AND('Mapa final'!#REF!="Alta",'Mapa final'!#REF!="Leve"),CONCATENATE("R10C",'Mapa final'!#REF!),"")</f>
        <v>#REF!</v>
      </c>
      <c r="P25" s="74" t="e">
        <f>IF(AND('Mapa final'!#REF!="Alta",'Mapa final'!#REF!="Menor"),CONCATENATE("R10C",'Mapa final'!#REF!),"")</f>
        <v>#REF!</v>
      </c>
      <c r="Q25" s="75" t="e">
        <f>IF(AND('Mapa final'!#REF!="Alta",'Mapa final'!#REF!="Menor"),CONCATENATE("R10C",'Mapa final'!#REF!),"")</f>
        <v>#REF!</v>
      </c>
      <c r="R25" s="75" t="e">
        <f>IF(AND('Mapa final'!#REF!="Alta",'Mapa final'!#REF!="Menor"),CONCATENATE("R10C",'Mapa final'!#REF!),"")</f>
        <v>#REF!</v>
      </c>
      <c r="S25" s="75" t="e">
        <f>IF(AND('Mapa final'!#REF!="Alta",'Mapa final'!#REF!="Menor"),CONCATENATE("R10C",'Mapa final'!#REF!),"")</f>
        <v>#REF!</v>
      </c>
      <c r="T25" s="75" t="e">
        <f>IF(AND('Mapa final'!#REF!="Alta",'Mapa final'!#REF!="Menor"),CONCATENATE("R10C",'Mapa final'!#REF!),"")</f>
        <v>#REF!</v>
      </c>
      <c r="U25" s="76" t="e">
        <f>IF(AND('Mapa final'!#REF!="Alta",'Mapa final'!#REF!="Menor"),CONCATENATE("R10C",'Mapa final'!#REF!),"")</f>
        <v>#REF!</v>
      </c>
      <c r="V25" s="62" t="e">
        <f>IF(AND('Mapa final'!#REF!="Alta",'Mapa final'!#REF!="Moderado"),CONCATENATE("R10C",'Mapa final'!#REF!),"")</f>
        <v>#REF!</v>
      </c>
      <c r="W25" s="63" t="e">
        <f>IF(AND('Mapa final'!#REF!="Alta",'Mapa final'!#REF!="Moderado"),CONCATENATE("R10C",'Mapa final'!#REF!),"")</f>
        <v>#REF!</v>
      </c>
      <c r="X25" s="63" t="e">
        <f>IF(AND('Mapa final'!#REF!="Alta",'Mapa final'!#REF!="Moderado"),CONCATENATE("R10C",'Mapa final'!#REF!),"")</f>
        <v>#REF!</v>
      </c>
      <c r="Y25" s="63" t="e">
        <f>IF(AND('Mapa final'!#REF!="Alta",'Mapa final'!#REF!="Moderado"),CONCATENATE("R10C",'Mapa final'!#REF!),"")</f>
        <v>#REF!</v>
      </c>
      <c r="Z25" s="63" t="e">
        <f>IF(AND('Mapa final'!#REF!="Alta",'Mapa final'!#REF!="Moderado"),CONCATENATE("R10C",'Mapa final'!#REF!),"")</f>
        <v>#REF!</v>
      </c>
      <c r="AA25" s="64" t="e">
        <f>IF(AND('Mapa final'!#REF!="Alta",'Mapa final'!#REF!="Moderado"),CONCATENATE("R10C",'Mapa final'!#REF!),"")</f>
        <v>#REF!</v>
      </c>
      <c r="AB25" s="62" t="e">
        <f>IF(AND('Mapa final'!#REF!="Alta",'Mapa final'!#REF!="Mayor"),CONCATENATE("R10C",'Mapa final'!#REF!),"")</f>
        <v>#REF!</v>
      </c>
      <c r="AC25" s="63" t="e">
        <f>IF(AND('Mapa final'!#REF!="Alta",'Mapa final'!#REF!="Mayor"),CONCATENATE("R10C",'Mapa final'!#REF!),"")</f>
        <v>#REF!</v>
      </c>
      <c r="AD25" s="63" t="e">
        <f>IF(AND('Mapa final'!#REF!="Alta",'Mapa final'!#REF!="Mayor"),CONCATENATE("R10C",'Mapa final'!#REF!),"")</f>
        <v>#REF!</v>
      </c>
      <c r="AE25" s="63" t="e">
        <f>IF(AND('Mapa final'!#REF!="Alta",'Mapa final'!#REF!="Mayor"),CONCATENATE("R10C",'Mapa final'!#REF!),"")</f>
        <v>#REF!</v>
      </c>
      <c r="AF25" s="63" t="e">
        <f>IF(AND('Mapa final'!#REF!="Alta",'Mapa final'!#REF!="Mayor"),CONCATENATE("R10C",'Mapa final'!#REF!),"")</f>
        <v>#REF!</v>
      </c>
      <c r="AG25" s="64" t="e">
        <f>IF(AND('Mapa final'!#REF!="Alta",'Mapa final'!#REF!="Mayor"),CONCATENATE("R10C",'Mapa final'!#REF!),"")</f>
        <v>#REF!</v>
      </c>
      <c r="AH25" s="65" t="e">
        <f>IF(AND('Mapa final'!#REF!="Alta",'Mapa final'!#REF!="Catastrófico"),CONCATENATE("R10C",'Mapa final'!#REF!),"")</f>
        <v>#REF!</v>
      </c>
      <c r="AI25" s="66" t="e">
        <f>IF(AND('Mapa final'!#REF!="Alta",'Mapa final'!#REF!="Catastrófico"),CONCATENATE("R10C",'Mapa final'!#REF!),"")</f>
        <v>#REF!</v>
      </c>
      <c r="AJ25" s="66" t="e">
        <f>IF(AND('Mapa final'!#REF!="Alta",'Mapa final'!#REF!="Catastrófico"),CONCATENATE("R10C",'Mapa final'!#REF!),"")</f>
        <v>#REF!</v>
      </c>
      <c r="AK25" s="66" t="e">
        <f>IF(AND('Mapa final'!#REF!="Alta",'Mapa final'!#REF!="Catastrófico"),CONCATENATE("R10C",'Mapa final'!#REF!),"")</f>
        <v>#REF!</v>
      </c>
      <c r="AL25" s="66" t="e">
        <f>IF(AND('Mapa final'!#REF!="Alta",'Mapa final'!#REF!="Catastrófico"),CONCATENATE("R10C",'Mapa final'!#REF!),"")</f>
        <v>#REF!</v>
      </c>
      <c r="AM25" s="67" t="e">
        <f>IF(AND('Mapa final'!#REF!="Alta",'Mapa final'!#REF!="Catastrófico"),CONCATENATE("R10C",'Mapa final'!#REF!),"")</f>
        <v>#REF!</v>
      </c>
      <c r="AN25" s="87"/>
      <c r="AO25" s="787"/>
      <c r="AP25" s="788"/>
      <c r="AQ25" s="788"/>
      <c r="AR25" s="788"/>
      <c r="AS25" s="788"/>
      <c r="AT25" s="789"/>
      <c r="AU25" s="87"/>
      <c r="AV25" s="87"/>
      <c r="AW25" s="87"/>
      <c r="AX25" s="87"/>
      <c r="AY25" s="87"/>
      <c r="AZ25" s="87"/>
      <c r="BA25" s="87"/>
      <c r="BB25" s="87"/>
      <c r="BC25" s="87"/>
      <c r="BD25" s="87"/>
      <c r="BE25" s="87"/>
      <c r="BF25" s="87"/>
      <c r="BG25" s="87"/>
      <c r="BH25" s="87"/>
      <c r="BI25" s="87"/>
      <c r="BJ25" s="87"/>
      <c r="BK25" s="87"/>
      <c r="BL25" s="87"/>
      <c r="BM25" s="87"/>
      <c r="BN25" s="87"/>
      <c r="BO25" s="87"/>
      <c r="BP25" s="87"/>
      <c r="BQ25" s="87"/>
      <c r="BR25" s="87"/>
      <c r="BS25" s="87"/>
      <c r="BT25" s="87"/>
      <c r="BU25" s="87"/>
      <c r="BV25" s="87"/>
      <c r="BW25" s="87"/>
      <c r="BX25" s="87"/>
    </row>
    <row r="26" spans="1:76" ht="15" customHeight="1" x14ac:dyDescent="0.25">
      <c r="A26" s="87"/>
      <c r="B26" s="695"/>
      <c r="C26" s="695"/>
      <c r="D26" s="696"/>
      <c r="E26" s="790" t="s">
        <v>464</v>
      </c>
      <c r="F26" s="791"/>
      <c r="G26" s="791"/>
      <c r="H26" s="791"/>
      <c r="I26" s="808"/>
      <c r="J26" s="68" t="str">
        <f ca="1">IF(AND('Mapa final'!$AC$9="Media",'Mapa final'!$AE$9="Leve"),CONCATENATE("R1C",'Mapa final'!$S$9),"")</f>
        <v/>
      </c>
      <c r="K26" s="69" t="str">
        <f>IF(AND('Mapa final'!$AC$11="Media",'Mapa final'!$AE$11="Leve"),CONCATENATE("R1C",'Mapa final'!$S$11),"")</f>
        <v/>
      </c>
      <c r="L26" s="69" t="str">
        <f>IF(AND('Mapa final'!$AC$13="Media",'Mapa final'!$AE$13="Leve"),CONCATENATE("R1C",'Mapa final'!$S$13),"")</f>
        <v/>
      </c>
      <c r="M26" s="69" t="str">
        <f>IF(AND('Mapa final'!$AC$14="Media",'Mapa final'!$AE$14="Leve"),CONCATENATE("R1C",'Mapa final'!$S$14),"")</f>
        <v/>
      </c>
      <c r="N26" s="69" t="str">
        <f>IF(AND('Mapa final'!$AC$15="Media",'Mapa final'!$AE$15="Leve"),CONCATENATE("R1C",'Mapa final'!$S$15),"")</f>
        <v/>
      </c>
      <c r="O26" s="70" t="str">
        <f ca="1">IF(AND('Mapa final'!$AC$60="Media",'Mapa final'!$AE$60="Leve"),CONCATENATE("R1C",'Mapa final'!$S$60),"")</f>
        <v/>
      </c>
      <c r="P26" s="68" t="str">
        <f ca="1">IF(AND('Mapa final'!$AC$9="Media",'Mapa final'!$AE$9="Menor"),CONCATENATE("R1C",'Mapa final'!$S$9),"")</f>
        <v/>
      </c>
      <c r="Q26" s="69" t="str">
        <f>IF(AND('Mapa final'!$AC$11="Media",'Mapa final'!$AE$11="Menor"),CONCATENATE("R1C",'Mapa final'!$S$11),"")</f>
        <v/>
      </c>
      <c r="R26" s="69" t="str">
        <f>IF(AND('Mapa final'!$AC$13="Media",'Mapa final'!$AE$13="Menor"),CONCATENATE("R1C",'Mapa final'!$S$13),"")</f>
        <v/>
      </c>
      <c r="S26" s="69" t="str">
        <f>IF(AND('Mapa final'!$AC$14="Media",'Mapa final'!$AE$14="Menor"),CONCATENATE("R1C",'Mapa final'!$S$14),"")</f>
        <v/>
      </c>
      <c r="T26" s="69" t="str">
        <f>IF(AND('Mapa final'!$AC$15="Media",'Mapa final'!$AE$15="Menor"),CONCATENATE("R1C",'Mapa final'!$S$15),"")</f>
        <v/>
      </c>
      <c r="U26" s="70" t="str">
        <f ca="1">IF(AND('Mapa final'!$AC$60="Media",'Mapa final'!$AE$60="Menor"),CONCATENATE("R1C",'Mapa final'!$S$60),"")</f>
        <v/>
      </c>
      <c r="V26" s="68" t="str">
        <f ca="1">IF(AND('Mapa final'!$AC$9="Media",'Mapa final'!$AE$9="Moderado"),CONCATENATE("R1C",'Mapa final'!$S$9),"")</f>
        <v>R1C1</v>
      </c>
      <c r="W26" s="69" t="str">
        <f>IF(AND('Mapa final'!$AC$11="Media",'Mapa final'!$AE$11="Moderado"),CONCATENATE("R1C",'Mapa final'!$S$11),"")</f>
        <v/>
      </c>
      <c r="X26" s="69" t="str">
        <f>IF(AND('Mapa final'!$AC$13="Media",'Mapa final'!$AE$13="Moderado"),CONCATENATE("R1C",'Mapa final'!$S$13),"")</f>
        <v/>
      </c>
      <c r="Y26" s="69" t="str">
        <f>IF(AND('Mapa final'!$AC$14="Media",'Mapa final'!$AE$14="Moderado"),CONCATENATE("R1C",'Mapa final'!$S$14),"")</f>
        <v/>
      </c>
      <c r="Z26" s="69" t="str">
        <f>IF(AND('Mapa final'!$AC$15="Media",'Mapa final'!$AE$15="Moderado"),CONCATENATE("R1C",'Mapa final'!$S$15),"")</f>
        <v/>
      </c>
      <c r="AA26" s="70" t="str">
        <f ca="1">IF(AND('Mapa final'!$AC$60="Media",'Mapa final'!$AE$60="Moderado"),CONCATENATE("R1C",'Mapa final'!$S$60),"")</f>
        <v/>
      </c>
      <c r="AB26" s="50" t="str">
        <f ca="1">IF(AND('Mapa final'!$AC$9="Media",'Mapa final'!$AE$9="Mayor"),CONCATENATE("R1C",'Mapa final'!$S$9),"")</f>
        <v/>
      </c>
      <c r="AC26" s="51" t="str">
        <f>IF(AND('Mapa final'!$AC$11="Media",'Mapa final'!$AE$11="Mayor"),CONCATENATE("R1C",'Mapa final'!$S$11),"")</f>
        <v>R1C1</v>
      </c>
      <c r="AD26" s="51" t="str">
        <f>IF(AND('Mapa final'!$AC$13="Media",'Mapa final'!$AE$13="Mayor"),CONCATENATE("R1C",'Mapa final'!$S$13),"")</f>
        <v/>
      </c>
      <c r="AE26" s="51" t="str">
        <f>IF(AND('Mapa final'!$AC$14="Media",'Mapa final'!$AE$14="Mayor"),CONCATENATE("R1C",'Mapa final'!$S$14),"")</f>
        <v/>
      </c>
      <c r="AF26" s="51" t="str">
        <f>IF(AND('Mapa final'!$AC$15="Media",'Mapa final'!$AE$15="Mayor"),CONCATENATE("R1C",'Mapa final'!$S$15),"")</f>
        <v/>
      </c>
      <c r="AG26" s="52" t="str">
        <f ca="1">IF(AND('Mapa final'!$AC$60="Media",'Mapa final'!$AE$60="Mayor"),CONCATENATE("R1C",'Mapa final'!$S$60),"")</f>
        <v/>
      </c>
      <c r="AH26" s="53" t="str">
        <f ca="1">IF(AND('Mapa final'!$AC$9="Media",'Mapa final'!$AE$9="Catastrófico"),CONCATENATE("R1C",'Mapa final'!$S$9),"")</f>
        <v/>
      </c>
      <c r="AI26" s="54" t="str">
        <f>IF(AND('Mapa final'!$AC$11="Media",'Mapa final'!$AE$11="Catastrófico"),CONCATENATE("R1C",'Mapa final'!$S$11),"")</f>
        <v/>
      </c>
      <c r="AJ26" s="54" t="str">
        <f>IF(AND('Mapa final'!$AC$13="Media",'Mapa final'!$AE$13="Catastrófico"),CONCATENATE("R1C",'Mapa final'!$S$13),"")</f>
        <v/>
      </c>
      <c r="AK26" s="54" t="str">
        <f>IF(AND('Mapa final'!$AC$14="Media",'Mapa final'!$AE$14="Catastrófico"),CONCATENATE("R1C",'Mapa final'!$S$14),"")</f>
        <v/>
      </c>
      <c r="AL26" s="54" t="str">
        <f>IF(AND('Mapa final'!$AC$15="Media",'Mapa final'!$AE$15="Catastrófico"),CONCATENATE("R1C",'Mapa final'!$S$15),"")</f>
        <v/>
      </c>
      <c r="AM26" s="55" t="str">
        <f ca="1">IF(AND('Mapa final'!$AC$60="Media",'Mapa final'!$AE$60="Catastrófico"),CONCATENATE("R1C",'Mapa final'!$S$60),"")</f>
        <v/>
      </c>
      <c r="AN26" s="87"/>
      <c r="AO26" s="820" t="s">
        <v>305</v>
      </c>
      <c r="AP26" s="821"/>
      <c r="AQ26" s="821"/>
      <c r="AR26" s="821"/>
      <c r="AS26" s="821"/>
      <c r="AT26" s="822"/>
      <c r="AU26" s="87"/>
      <c r="AV26" s="87"/>
      <c r="AW26" s="87"/>
      <c r="AX26" s="87"/>
      <c r="AY26" s="87"/>
      <c r="AZ26" s="87"/>
      <c r="BA26" s="87"/>
      <c r="BB26" s="87"/>
      <c r="BC26" s="87"/>
      <c r="BD26" s="87"/>
      <c r="BE26" s="87"/>
      <c r="BF26" s="87"/>
      <c r="BG26" s="87"/>
      <c r="BH26" s="87"/>
      <c r="BI26" s="87"/>
      <c r="BJ26" s="87"/>
      <c r="BK26" s="87"/>
      <c r="BL26" s="87"/>
      <c r="BM26" s="87"/>
      <c r="BN26" s="87"/>
      <c r="BO26" s="87"/>
      <c r="BP26" s="87"/>
      <c r="BQ26" s="87"/>
      <c r="BR26" s="87"/>
      <c r="BS26" s="87"/>
      <c r="BT26" s="87"/>
      <c r="BU26" s="87"/>
      <c r="BV26" s="87"/>
      <c r="BW26" s="87"/>
      <c r="BX26" s="87"/>
    </row>
    <row r="27" spans="1:76" ht="15" customHeight="1" x14ac:dyDescent="0.25">
      <c r="A27" s="87"/>
      <c r="B27" s="695"/>
      <c r="C27" s="695"/>
      <c r="D27" s="696"/>
      <c r="E27" s="792"/>
      <c r="F27" s="793"/>
      <c r="G27" s="793"/>
      <c r="H27" s="793"/>
      <c r="I27" s="809"/>
      <c r="J27" s="71" t="str">
        <f ca="1">IF(AND('Mapa final'!$AC$63="Media",'Mapa final'!$AE$63="Leve"),CONCATENATE("R2C",'Mapa final'!$S$63),"")</f>
        <v/>
      </c>
      <c r="K27" s="72" t="str">
        <f ca="1">IF(AND('Mapa final'!$AC$66="Media",'Mapa final'!$AE$66="Leve"),CONCATENATE("R2C",'Mapa final'!$S$66),"")</f>
        <v/>
      </c>
      <c r="L27" s="72" t="str">
        <f ca="1">IF(AND('Mapa final'!$AC$69="Media",'Mapa final'!$AE$69="Leve"),CONCATENATE("R2C",'Mapa final'!$S$69),"")</f>
        <v/>
      </c>
      <c r="M27" s="72" t="str">
        <f ca="1">IF(AND('Mapa final'!$AC$70="Media",'Mapa final'!$AE$70="Leve"),CONCATENATE("R2C",'Mapa final'!$S$70),"")</f>
        <v/>
      </c>
      <c r="N27" s="72" t="str">
        <f ca="1">IF(AND('Mapa final'!$AC$71="Media",'Mapa final'!$AE$71="Leve"),CONCATENATE("R2C",'Mapa final'!$S$71),"")</f>
        <v/>
      </c>
      <c r="O27" s="73" t="str">
        <f ca="1">IF(AND('Mapa final'!$AC$74="Media",'Mapa final'!$AE$74="Leve"),CONCATENATE("R2C",'Mapa final'!$S$74),"")</f>
        <v/>
      </c>
      <c r="P27" s="71" t="str">
        <f ca="1">IF(AND('Mapa final'!$AC$63="Media",'Mapa final'!$AE$63="Menor"),CONCATENATE("R2C",'Mapa final'!$S$63),"")</f>
        <v/>
      </c>
      <c r="Q27" s="72" t="str">
        <f ca="1">IF(AND('Mapa final'!$AC$66="Media",'Mapa final'!$AE$66="Menor"),CONCATENATE("R2C",'Mapa final'!$S$66),"")</f>
        <v/>
      </c>
      <c r="R27" s="72" t="str">
        <f ca="1">IF(AND('Mapa final'!$AC$69="Media",'Mapa final'!$AE$69="Menor"),CONCATENATE("R2C",'Mapa final'!$S$69),"")</f>
        <v/>
      </c>
      <c r="S27" s="72" t="str">
        <f ca="1">IF(AND('Mapa final'!$AC$70="Media",'Mapa final'!$AE$70="Menor"),CONCATENATE("R2C",'Mapa final'!$S$70),"")</f>
        <v/>
      </c>
      <c r="T27" s="72" t="str">
        <f ca="1">IF(AND('Mapa final'!$AC$71="Media",'Mapa final'!$AE$71="Menor"),CONCATENATE("R2C",'Mapa final'!$S$71),"")</f>
        <v/>
      </c>
      <c r="U27" s="73" t="str">
        <f ca="1">IF(AND('Mapa final'!$AC$74="Media",'Mapa final'!$AE$74="Menor"),CONCATENATE("R2C",'Mapa final'!$S$74),"")</f>
        <v/>
      </c>
      <c r="V27" s="71" t="str">
        <f ca="1">IF(AND('Mapa final'!$AC$63="Media",'Mapa final'!$AE$63="Moderado"),CONCATENATE("R2C",'Mapa final'!$S$63),"")</f>
        <v>R2C1</v>
      </c>
      <c r="W27" s="72" t="str">
        <f ca="1">IF(AND('Mapa final'!$AC$66="Media",'Mapa final'!$AE$66="Moderado"),CONCATENATE("R2C",'Mapa final'!$S$66),"")</f>
        <v/>
      </c>
      <c r="X27" s="72" t="str">
        <f ca="1">IF(AND('Mapa final'!$AC$69="Media",'Mapa final'!$AE$69="Moderado"),CONCATENATE("R2C",'Mapa final'!$S$69),"")</f>
        <v/>
      </c>
      <c r="Y27" s="72" t="str">
        <f ca="1">IF(AND('Mapa final'!$AC$70="Media",'Mapa final'!$AE$70="Moderado"),CONCATENATE("R2C",'Mapa final'!$S$70),"")</f>
        <v/>
      </c>
      <c r="Z27" s="72" t="str">
        <f ca="1">IF(AND('Mapa final'!$AC$71="Media",'Mapa final'!$AE$71="Moderado"),CONCATENATE("R2C",'Mapa final'!$S$71),"")</f>
        <v>R2C2</v>
      </c>
      <c r="AA27" s="73" t="str">
        <f ca="1">IF(AND('Mapa final'!$AC$74="Media",'Mapa final'!$AE$74="Moderado"),CONCATENATE("R2C",'Mapa final'!$S$74),"")</f>
        <v/>
      </c>
      <c r="AB27" s="56" t="str">
        <f ca="1">IF(AND('Mapa final'!$AC$63="Media",'Mapa final'!$AE$63="Mayor"),CONCATENATE("R2C",'Mapa final'!$S$63),"")</f>
        <v/>
      </c>
      <c r="AC27" s="57" t="str">
        <f ca="1">IF(AND('Mapa final'!$AC$66="Media",'Mapa final'!$AE$66="Mayor"),CONCATENATE("R2C",'Mapa final'!$S$66),"")</f>
        <v/>
      </c>
      <c r="AD27" s="57" t="str">
        <f ca="1">IF(AND('Mapa final'!$AC$69="Media",'Mapa final'!$AE$69="Mayor"),CONCATENATE("R2C",'Mapa final'!$S$69),"")</f>
        <v/>
      </c>
      <c r="AE27" s="57" t="str">
        <f ca="1">IF(AND('Mapa final'!$AC$70="Media",'Mapa final'!$AE$70="Mayor"),CONCATENATE("R2C",'Mapa final'!$S$70),"")</f>
        <v>R2C1</v>
      </c>
      <c r="AF27" s="57" t="str">
        <f ca="1">IF(AND('Mapa final'!$AC$71="Media",'Mapa final'!$AE$71="Mayor"),CONCATENATE("R2C",'Mapa final'!$S$71),"")</f>
        <v/>
      </c>
      <c r="AG27" s="58" t="str">
        <f ca="1">IF(AND('Mapa final'!$AC$74="Media",'Mapa final'!$AE$74="Mayor"),CONCATENATE("R2C",'Mapa final'!$S$74),"")</f>
        <v/>
      </c>
      <c r="AH27" s="59" t="str">
        <f ca="1">IF(AND('Mapa final'!$AC$63="Media",'Mapa final'!$AE$63="Catastrófico"),CONCATENATE("R2C",'Mapa final'!$S$63),"")</f>
        <v/>
      </c>
      <c r="AI27" s="60" t="str">
        <f ca="1">IF(AND('Mapa final'!$AC$66="Media",'Mapa final'!$AE$66="Catastrófico"),CONCATENATE("R2C",'Mapa final'!$S$66),"")</f>
        <v/>
      </c>
      <c r="AJ27" s="60" t="str">
        <f ca="1">IF(AND('Mapa final'!$AC$69="Media",'Mapa final'!$AE$69="Catastrófico"),CONCATENATE("R2C",'Mapa final'!$S$69),"")</f>
        <v/>
      </c>
      <c r="AK27" s="60" t="str">
        <f ca="1">IF(AND('Mapa final'!$AC$70="Media",'Mapa final'!$AE$70="Catastrófico"),CONCATENATE("R2C",'Mapa final'!$S$70),"")</f>
        <v/>
      </c>
      <c r="AL27" s="60" t="str">
        <f ca="1">IF(AND('Mapa final'!$AC$71="Media",'Mapa final'!$AE$71="Catastrófico"),CONCATENATE("R2C",'Mapa final'!$S$71),"")</f>
        <v/>
      </c>
      <c r="AM27" s="61" t="str">
        <f ca="1">IF(AND('Mapa final'!$AC$74="Media",'Mapa final'!$AE$74="Catastrófico"),CONCATENATE("R2C",'Mapa final'!$S$74),"")</f>
        <v/>
      </c>
      <c r="AN27" s="87"/>
      <c r="AO27" s="823"/>
      <c r="AP27" s="824"/>
      <c r="AQ27" s="824"/>
      <c r="AR27" s="824"/>
      <c r="AS27" s="824"/>
      <c r="AT27" s="825"/>
      <c r="AU27" s="87"/>
      <c r="AV27" s="87"/>
      <c r="AW27" s="87"/>
      <c r="AX27" s="87"/>
      <c r="AY27" s="87"/>
      <c r="AZ27" s="87"/>
      <c r="BA27" s="87"/>
      <c r="BB27" s="87"/>
      <c r="BC27" s="87"/>
      <c r="BD27" s="87"/>
      <c r="BE27" s="87"/>
      <c r="BF27" s="87"/>
      <c r="BG27" s="87"/>
      <c r="BH27" s="87"/>
      <c r="BI27" s="87"/>
      <c r="BJ27" s="87"/>
      <c r="BK27" s="87"/>
      <c r="BL27" s="87"/>
      <c r="BM27" s="87"/>
      <c r="BN27" s="87"/>
      <c r="BO27" s="87"/>
      <c r="BP27" s="87"/>
      <c r="BQ27" s="87"/>
      <c r="BR27" s="87"/>
      <c r="BS27" s="87"/>
      <c r="BT27" s="87"/>
      <c r="BU27" s="87"/>
      <c r="BV27" s="87"/>
      <c r="BW27" s="87"/>
      <c r="BX27" s="87"/>
    </row>
    <row r="28" spans="1:76" ht="15" customHeight="1" x14ac:dyDescent="0.25">
      <c r="A28" s="87"/>
      <c r="B28" s="695"/>
      <c r="C28" s="695"/>
      <c r="D28" s="696"/>
      <c r="E28" s="794"/>
      <c r="F28" s="793"/>
      <c r="G28" s="793"/>
      <c r="H28" s="793"/>
      <c r="I28" s="809"/>
      <c r="J28" s="71" t="str">
        <f ca="1">IF(AND('Mapa final'!$AC$75="Media",'Mapa final'!$AE$75="Leve"),CONCATENATE("R3C",'Mapa final'!$S$75),"")</f>
        <v/>
      </c>
      <c r="K28" s="72" t="str">
        <f>IF(AND('Mapa final'!$AC$76="Media",'Mapa final'!$AE$76="Leve"),CONCATENATE("R3C",'Mapa final'!$S$76),"")</f>
        <v/>
      </c>
      <c r="L28" s="72" t="str">
        <f>IF(AND('Mapa final'!$AC$77="Media",'Mapa final'!$AE$77="Leve"),CONCATENATE("R3C",'Mapa final'!$S$77),"")</f>
        <v/>
      </c>
      <c r="M28" s="72" t="str">
        <f>IF(AND('Mapa final'!$AC$78="Media",'Mapa final'!$AE$78="Leve"),CONCATENATE("R3C",'Mapa final'!$S$78),"")</f>
        <v/>
      </c>
      <c r="N28" s="72" t="str">
        <f>IF(AND('Mapa final'!$AC$79="Media",'Mapa final'!$AE$79="Leve"),CONCATENATE("R3C",'Mapa final'!$S$79),"")</f>
        <v/>
      </c>
      <c r="O28" s="73" t="str">
        <f ca="1">IF(AND('Mapa final'!$AC$80="Media",'Mapa final'!$AE$80="Leve"),CONCATENATE("R3C",'Mapa final'!$S$80),"")</f>
        <v/>
      </c>
      <c r="P28" s="71" t="str">
        <f ca="1">IF(AND('Mapa final'!$AC$75="Media",'Mapa final'!$AE$75="Menor"),CONCATENATE("R3C",'Mapa final'!$S$75),"")</f>
        <v/>
      </c>
      <c r="Q28" s="72" t="str">
        <f>IF(AND('Mapa final'!$AC$76="Media",'Mapa final'!$AE$76="Menor"),CONCATENATE("R3C",'Mapa final'!$S$76),"")</f>
        <v/>
      </c>
      <c r="R28" s="72" t="str">
        <f>IF(AND('Mapa final'!$AC$77="Media",'Mapa final'!$AE$77="Menor"),CONCATENATE("R3C",'Mapa final'!$S$77),"")</f>
        <v/>
      </c>
      <c r="S28" s="72" t="str">
        <f>IF(AND('Mapa final'!$AC$78="Media",'Mapa final'!$AE$78="Menor"),CONCATENATE("R3C",'Mapa final'!$S$78),"")</f>
        <v/>
      </c>
      <c r="T28" s="72" t="str">
        <f>IF(AND('Mapa final'!$AC$79="Media",'Mapa final'!$AE$79="Menor"),CONCATENATE("R3C",'Mapa final'!$S$79),"")</f>
        <v/>
      </c>
      <c r="U28" s="73" t="str">
        <f ca="1">IF(AND('Mapa final'!$AC$80="Media",'Mapa final'!$AE$80="Menor"),CONCATENATE("R3C",'Mapa final'!$S$80),"")</f>
        <v/>
      </c>
      <c r="V28" s="71" t="str">
        <f ca="1">IF(AND('Mapa final'!$AC$75="Media",'Mapa final'!$AE$75="Moderado"),CONCATENATE("R3C",'Mapa final'!$S$75),"")</f>
        <v/>
      </c>
      <c r="W28" s="72" t="str">
        <f>IF(AND('Mapa final'!$AC$76="Media",'Mapa final'!$AE$76="Moderado"),CONCATENATE("R3C",'Mapa final'!$S$76),"")</f>
        <v/>
      </c>
      <c r="X28" s="72" t="str">
        <f>IF(AND('Mapa final'!$AC$77="Media",'Mapa final'!$AE$77="Moderado"),CONCATENATE("R3C",'Mapa final'!$S$77),"")</f>
        <v/>
      </c>
      <c r="Y28" s="72" t="str">
        <f>IF(AND('Mapa final'!$AC$78="Media",'Mapa final'!$AE$78="Moderado"),CONCATENATE("R3C",'Mapa final'!$S$78),"")</f>
        <v/>
      </c>
      <c r="Z28" s="72" t="str">
        <f>IF(AND('Mapa final'!$AC$79="Media",'Mapa final'!$AE$79="Moderado"),CONCATENATE("R3C",'Mapa final'!$S$79),"")</f>
        <v/>
      </c>
      <c r="AA28" s="73" t="str">
        <f ca="1">IF(AND('Mapa final'!$AC$80="Media",'Mapa final'!$AE$80="Moderado"),CONCATENATE("R3C",'Mapa final'!$S$80),"")</f>
        <v/>
      </c>
      <c r="AB28" s="56" t="str">
        <f ca="1">IF(AND('Mapa final'!$AC$75="Media",'Mapa final'!$AE$75="Mayor"),CONCATENATE("R3C",'Mapa final'!$S$75),"")</f>
        <v/>
      </c>
      <c r="AC28" s="57" t="str">
        <f>IF(AND('Mapa final'!$AC$76="Media",'Mapa final'!$AE$76="Mayor"),CONCATENATE("R3C",'Mapa final'!$S$76),"")</f>
        <v/>
      </c>
      <c r="AD28" s="57" t="str">
        <f>IF(AND('Mapa final'!$AC$77="Media",'Mapa final'!$AE$77="Mayor"),CONCATENATE("R3C",'Mapa final'!$S$77),"")</f>
        <v/>
      </c>
      <c r="AE28" s="57" t="str">
        <f>IF(AND('Mapa final'!$AC$78="Media",'Mapa final'!$AE$78="Mayor"),CONCATENATE("R3C",'Mapa final'!$S$78),"")</f>
        <v/>
      </c>
      <c r="AF28" s="57" t="str">
        <f>IF(AND('Mapa final'!$AC$79="Media",'Mapa final'!$AE$79="Mayor"),CONCATENATE("R3C",'Mapa final'!$S$79),"")</f>
        <v/>
      </c>
      <c r="AG28" s="58" t="str">
        <f ca="1">IF(AND('Mapa final'!$AC$80="Media",'Mapa final'!$AE$80="Mayor"),CONCATENATE("R3C",'Mapa final'!$S$80),"")</f>
        <v/>
      </c>
      <c r="AH28" s="59" t="str">
        <f ca="1">IF(AND('Mapa final'!$AC$75="Media",'Mapa final'!$AE$75="Catastrófico"),CONCATENATE("R3C",'Mapa final'!$S$75),"")</f>
        <v/>
      </c>
      <c r="AI28" s="60" t="str">
        <f>IF(AND('Mapa final'!$AC$76="Media",'Mapa final'!$AE$76="Catastrófico"),CONCATENATE("R3C",'Mapa final'!$S$76),"")</f>
        <v/>
      </c>
      <c r="AJ28" s="60" t="str">
        <f>IF(AND('Mapa final'!$AC$77="Media",'Mapa final'!$AE$77="Catastrófico"),CONCATENATE("R3C",'Mapa final'!$S$77),"")</f>
        <v/>
      </c>
      <c r="AK28" s="60" t="str">
        <f>IF(AND('Mapa final'!$AC$78="Media",'Mapa final'!$AE$78="Catastrófico"),CONCATENATE("R3C",'Mapa final'!$S$78),"")</f>
        <v/>
      </c>
      <c r="AL28" s="60" t="str">
        <f>IF(AND('Mapa final'!$AC$79="Media",'Mapa final'!$AE$79="Catastrófico"),CONCATENATE("R3C",'Mapa final'!$S$79),"")</f>
        <v/>
      </c>
      <c r="AM28" s="61" t="str">
        <f ca="1">IF(AND('Mapa final'!$AC$80="Media",'Mapa final'!$AE$80="Catastrófico"),CONCATENATE("R3C",'Mapa final'!$S$80),"")</f>
        <v/>
      </c>
      <c r="AN28" s="87"/>
      <c r="AO28" s="823"/>
      <c r="AP28" s="824"/>
      <c r="AQ28" s="824"/>
      <c r="AR28" s="824"/>
      <c r="AS28" s="824"/>
      <c r="AT28" s="825"/>
      <c r="AU28" s="87"/>
      <c r="AV28" s="87"/>
      <c r="AW28" s="87"/>
      <c r="AX28" s="87"/>
      <c r="AY28" s="87"/>
      <c r="AZ28" s="87"/>
      <c r="BA28" s="87"/>
      <c r="BB28" s="87"/>
      <c r="BC28" s="87"/>
      <c r="BD28" s="87"/>
      <c r="BE28" s="87"/>
      <c r="BF28" s="87"/>
      <c r="BG28" s="87"/>
      <c r="BH28" s="87"/>
      <c r="BI28" s="87"/>
      <c r="BJ28" s="87"/>
      <c r="BK28" s="87"/>
      <c r="BL28" s="87"/>
      <c r="BM28" s="87"/>
      <c r="BN28" s="87"/>
      <c r="BO28" s="87"/>
      <c r="BP28" s="87"/>
      <c r="BQ28" s="87"/>
      <c r="BR28" s="87"/>
      <c r="BS28" s="87"/>
      <c r="BT28" s="87"/>
      <c r="BU28" s="87"/>
      <c r="BV28" s="87"/>
      <c r="BW28" s="87"/>
      <c r="BX28" s="87"/>
    </row>
    <row r="29" spans="1:76" ht="15" customHeight="1" x14ac:dyDescent="0.25">
      <c r="A29" s="87"/>
      <c r="B29" s="695"/>
      <c r="C29" s="695"/>
      <c r="D29" s="696"/>
      <c r="E29" s="794"/>
      <c r="F29" s="793"/>
      <c r="G29" s="793"/>
      <c r="H29" s="793"/>
      <c r="I29" s="809"/>
      <c r="J29" s="71" t="str">
        <f ca="1">IF(AND('Mapa final'!$AC$81="Media",'Mapa final'!$AE$81="Leve"),CONCATENATE("R4C",'Mapa final'!$S$81),"")</f>
        <v/>
      </c>
      <c r="K29" s="72" t="str">
        <f ca="1">IF(AND('Mapa final'!$AC$86="Media",'Mapa final'!$AE$86="Leve"),CONCATENATE("R4C",'Mapa final'!$S$86),"")</f>
        <v/>
      </c>
      <c r="L29" s="72" t="e">
        <f>IF(AND('Mapa final'!#REF!="Media",'Mapa final'!#REF!="Leve"),CONCATENATE("R4C",'Mapa final'!#REF!),"")</f>
        <v>#REF!</v>
      </c>
      <c r="M29" s="72" t="str">
        <f ca="1">IF(AND('Mapa final'!$AC$87="Media",'Mapa final'!$AE$87="Leve"),CONCATENATE("R4C",'Mapa final'!$S$87),"")</f>
        <v/>
      </c>
      <c r="N29" s="72" t="str">
        <f ca="1">IF(AND('Mapa final'!$AC$88="Media",'Mapa final'!$AE$88="Leve"),CONCATENATE("R4C",'Mapa final'!$S$88),"")</f>
        <v/>
      </c>
      <c r="O29" s="73" t="e">
        <f>IF(AND('Mapa final'!#REF!="Media",'Mapa final'!#REF!="Leve"),CONCATENATE("R4C",'Mapa final'!#REF!),"")</f>
        <v>#REF!</v>
      </c>
      <c r="P29" s="71" t="str">
        <f ca="1">IF(AND('Mapa final'!$AC$81="Media",'Mapa final'!$AE$81="Menor"),CONCATENATE("R4C",'Mapa final'!$S$81),"")</f>
        <v/>
      </c>
      <c r="Q29" s="72" t="str">
        <f ca="1">IF(AND('Mapa final'!$AC$86="Media",'Mapa final'!$AE$86="Menor"),CONCATENATE("R4C",'Mapa final'!$S$86),"")</f>
        <v/>
      </c>
      <c r="R29" s="72" t="e">
        <f>IF(AND('Mapa final'!#REF!="Media",'Mapa final'!#REF!="Menor"),CONCATENATE("R4C",'Mapa final'!#REF!),"")</f>
        <v>#REF!</v>
      </c>
      <c r="S29" s="72" t="str">
        <f ca="1">IF(AND('Mapa final'!$AC$87="Media",'Mapa final'!$AE$87="Menor"),CONCATENATE("R4C",'Mapa final'!$S$87),"")</f>
        <v>R4C1</v>
      </c>
      <c r="T29" s="72" t="str">
        <f ca="1">IF(AND('Mapa final'!$AC$88="Media",'Mapa final'!$AE$88="Menor"),CONCATENATE("R4C",'Mapa final'!$S$88),"")</f>
        <v/>
      </c>
      <c r="U29" s="73" t="e">
        <f>IF(AND('Mapa final'!#REF!="Media",'Mapa final'!#REF!="Menor"),CONCATENATE("R4C",'Mapa final'!#REF!),"")</f>
        <v>#REF!</v>
      </c>
      <c r="V29" s="71" t="str">
        <f ca="1">IF(AND('Mapa final'!$AC$81="Media",'Mapa final'!$AE$81="Moderado"),CONCATENATE("R4C",'Mapa final'!$S$81),"")</f>
        <v/>
      </c>
      <c r="W29" s="72" t="str">
        <f ca="1">IF(AND('Mapa final'!$AC$86="Media",'Mapa final'!$AE$86="Moderado"),CONCATENATE("R4C",'Mapa final'!$S$86),"")</f>
        <v/>
      </c>
      <c r="X29" s="72" t="e">
        <f>IF(AND('Mapa final'!#REF!="Media",'Mapa final'!#REF!="Moderado"),CONCATENATE("R4C",'Mapa final'!#REF!),"")</f>
        <v>#REF!</v>
      </c>
      <c r="Y29" s="72" t="str">
        <f ca="1">IF(AND('Mapa final'!$AC$87="Media",'Mapa final'!$AE$87="Moderado"),CONCATENATE("R4C",'Mapa final'!$S$87),"")</f>
        <v/>
      </c>
      <c r="Z29" s="72" t="str">
        <f ca="1">IF(AND('Mapa final'!$AC$88="Media",'Mapa final'!$AE$88="Moderado"),CONCATENATE("R4C",'Mapa final'!$S$88),"")</f>
        <v/>
      </c>
      <c r="AA29" s="73" t="e">
        <f>IF(AND('Mapa final'!#REF!="Media",'Mapa final'!#REF!="Moderado"),CONCATENATE("R4C",'Mapa final'!#REF!),"")</f>
        <v>#REF!</v>
      </c>
      <c r="AB29" s="56" t="str">
        <f ca="1">IF(AND('Mapa final'!$AC$81="Media",'Mapa final'!$AE$81="Mayor"),CONCATENATE("R4C",'Mapa final'!$S$81),"")</f>
        <v/>
      </c>
      <c r="AC29" s="57" t="str">
        <f ca="1">IF(AND('Mapa final'!$AC$86="Media",'Mapa final'!$AE$86="Mayor"),CONCATENATE("R4C",'Mapa final'!$S$86),"")</f>
        <v/>
      </c>
      <c r="AD29" s="57" t="e">
        <f>IF(AND('Mapa final'!#REF!="Media",'Mapa final'!#REF!="Mayor"),CONCATENATE("R4C",'Mapa final'!#REF!),"")</f>
        <v>#REF!</v>
      </c>
      <c r="AE29" s="57" t="str">
        <f ca="1">IF(AND('Mapa final'!$AC$87="Media",'Mapa final'!$AE$87="Mayor"),CONCATENATE("R4C",'Mapa final'!$S$87),"")</f>
        <v/>
      </c>
      <c r="AF29" s="57" t="str">
        <f ca="1">IF(AND('Mapa final'!$AC$88="Media",'Mapa final'!$AE$88="Mayor"),CONCATENATE("R4C",'Mapa final'!$S$88),"")</f>
        <v/>
      </c>
      <c r="AG29" s="58" t="e">
        <f>IF(AND('Mapa final'!#REF!="Media",'Mapa final'!#REF!="Mayor"),CONCATENATE("R4C",'Mapa final'!#REF!),"")</f>
        <v>#REF!</v>
      </c>
      <c r="AH29" s="59" t="str">
        <f ca="1">IF(AND('Mapa final'!$AC$81="Media",'Mapa final'!$AE$81="Catastrófico"),CONCATENATE("R4C",'Mapa final'!$S$81),"")</f>
        <v/>
      </c>
      <c r="AI29" s="60" t="str">
        <f ca="1">IF(AND('Mapa final'!$AC$86="Media",'Mapa final'!$AE$86="Catastrófico"),CONCATENATE("R4C",'Mapa final'!$S$86),"")</f>
        <v/>
      </c>
      <c r="AJ29" s="60" t="e">
        <f>IF(AND('Mapa final'!#REF!="Media",'Mapa final'!#REF!="Catastrófico"),CONCATENATE("R4C",'Mapa final'!#REF!),"")</f>
        <v>#REF!</v>
      </c>
      <c r="AK29" s="60" t="str">
        <f ca="1">IF(AND('Mapa final'!$AC$87="Media",'Mapa final'!$AE$87="Catastrófico"),CONCATENATE("R4C",'Mapa final'!$S$87),"")</f>
        <v/>
      </c>
      <c r="AL29" s="60" t="str">
        <f ca="1">IF(AND('Mapa final'!$AC$88="Media",'Mapa final'!$AE$88="Catastrófico"),CONCATENATE("R4C",'Mapa final'!$S$88),"")</f>
        <v/>
      </c>
      <c r="AM29" s="61" t="e">
        <f>IF(AND('Mapa final'!#REF!="Media",'Mapa final'!#REF!="Catastrófico"),CONCATENATE("R4C",'Mapa final'!#REF!),"")</f>
        <v>#REF!</v>
      </c>
      <c r="AN29" s="87"/>
      <c r="AO29" s="823"/>
      <c r="AP29" s="824"/>
      <c r="AQ29" s="824"/>
      <c r="AR29" s="824"/>
      <c r="AS29" s="824"/>
      <c r="AT29" s="825"/>
      <c r="AU29" s="87"/>
      <c r="AV29" s="87"/>
      <c r="AW29" s="87"/>
      <c r="AX29" s="87"/>
      <c r="AY29" s="87"/>
      <c r="AZ29" s="87"/>
      <c r="BA29" s="87"/>
      <c r="BB29" s="87"/>
      <c r="BC29" s="87"/>
      <c r="BD29" s="87"/>
      <c r="BE29" s="87"/>
      <c r="BF29" s="87"/>
      <c r="BG29" s="87"/>
      <c r="BH29" s="87"/>
      <c r="BI29" s="87"/>
      <c r="BJ29" s="87"/>
      <c r="BK29" s="87"/>
      <c r="BL29" s="87"/>
      <c r="BM29" s="87"/>
      <c r="BN29" s="87"/>
      <c r="BO29" s="87"/>
      <c r="BP29" s="87"/>
      <c r="BQ29" s="87"/>
      <c r="BR29" s="87"/>
      <c r="BS29" s="87"/>
      <c r="BT29" s="87"/>
      <c r="BU29" s="87"/>
      <c r="BV29" s="87"/>
      <c r="BW29" s="87"/>
      <c r="BX29" s="87"/>
    </row>
    <row r="30" spans="1:76" ht="15" customHeight="1" x14ac:dyDescent="0.25">
      <c r="A30" s="87"/>
      <c r="B30" s="695"/>
      <c r="C30" s="695"/>
      <c r="D30" s="696"/>
      <c r="E30" s="794"/>
      <c r="F30" s="793"/>
      <c r="G30" s="793"/>
      <c r="H30" s="793"/>
      <c r="I30" s="809"/>
      <c r="J30" s="71" t="str">
        <f ca="1">IF(AND('Mapa final'!$AC$89="Media",'Mapa final'!$AE$89="Leve"),CONCATENATE("R5C",'Mapa final'!$S$89),"")</f>
        <v/>
      </c>
      <c r="K30" s="72" t="str">
        <f ca="1">IF(AND('Mapa final'!$AC$91="Media",'Mapa final'!$AE$91="Leve"),CONCATENATE("R5C",'Mapa final'!$S$91),"")</f>
        <v/>
      </c>
      <c r="L30" s="72" t="str">
        <f ca="1">IF(AND('Mapa final'!$AC$92="Media",'Mapa final'!$AE$92="Leve"),CONCATENATE("R5C",'Mapa final'!$S$92),"")</f>
        <v/>
      </c>
      <c r="M30" s="72" t="str">
        <f ca="1">IF(AND('Mapa final'!$AC$95="Media",'Mapa final'!$AE$95="Leve"),CONCATENATE("R5C",'Mapa final'!$S$95),"")</f>
        <v/>
      </c>
      <c r="N30" s="72" t="e">
        <f>IF(AND('Mapa final'!#REF!="Media",'Mapa final'!#REF!="Leve"),CONCATENATE("R5C",'Mapa final'!#REF!),"")</f>
        <v>#REF!</v>
      </c>
      <c r="O30" s="73" t="e">
        <f>IF(AND('Mapa final'!#REF!="Media",'Mapa final'!#REF!="Leve"),CONCATENATE("R5C",'Mapa final'!#REF!),"")</f>
        <v>#REF!</v>
      </c>
      <c r="P30" s="71" t="str">
        <f ca="1">IF(AND('Mapa final'!$AC$89="Media",'Mapa final'!$AE$89="Menor"),CONCATENATE("R5C",'Mapa final'!$S$89),"")</f>
        <v/>
      </c>
      <c r="Q30" s="72" t="str">
        <f ca="1">IF(AND('Mapa final'!$AC$91="Media",'Mapa final'!$AE$91="Menor"),CONCATENATE("R5C",'Mapa final'!$S$91),"")</f>
        <v/>
      </c>
      <c r="R30" s="72" t="str">
        <f ca="1">IF(AND('Mapa final'!$AC$92="Media",'Mapa final'!$AE$92="Menor"),CONCATENATE("R5C",'Mapa final'!$S$92),"")</f>
        <v/>
      </c>
      <c r="S30" s="72" t="str">
        <f ca="1">IF(AND('Mapa final'!$AC$95="Media",'Mapa final'!$AE$95="Menor"),CONCATENATE("R5C",'Mapa final'!$S$95),"")</f>
        <v/>
      </c>
      <c r="T30" s="72" t="e">
        <f>IF(AND('Mapa final'!#REF!="Media",'Mapa final'!#REF!="Menor"),CONCATENATE("R5C",'Mapa final'!#REF!),"")</f>
        <v>#REF!</v>
      </c>
      <c r="U30" s="73" t="e">
        <f>IF(AND('Mapa final'!#REF!="Media",'Mapa final'!#REF!="Menor"),CONCATENATE("R5C",'Mapa final'!#REF!),"")</f>
        <v>#REF!</v>
      </c>
      <c r="V30" s="71" t="str">
        <f ca="1">IF(AND('Mapa final'!$AC$89="Media",'Mapa final'!$AE$89="Moderado"),CONCATENATE("R5C",'Mapa final'!$S$89),"")</f>
        <v/>
      </c>
      <c r="W30" s="72" t="str">
        <f ca="1">IF(AND('Mapa final'!$AC$91="Media",'Mapa final'!$AE$91="Moderado"),CONCATENATE("R5C",'Mapa final'!$S$91),"")</f>
        <v/>
      </c>
      <c r="X30" s="72" t="str">
        <f ca="1">IF(AND('Mapa final'!$AC$92="Media",'Mapa final'!$AE$92="Moderado"),CONCATENATE("R5C",'Mapa final'!$S$92),"")</f>
        <v/>
      </c>
      <c r="Y30" s="72" t="str">
        <f ca="1">IF(AND('Mapa final'!$AC$95="Media",'Mapa final'!$AE$95="Moderado"),CONCATENATE("R5C",'Mapa final'!$S$95),"")</f>
        <v/>
      </c>
      <c r="Z30" s="72" t="e">
        <f>IF(AND('Mapa final'!#REF!="Media",'Mapa final'!#REF!="Moderado"),CONCATENATE("R5C",'Mapa final'!#REF!),"")</f>
        <v>#REF!</v>
      </c>
      <c r="AA30" s="73" t="e">
        <f>IF(AND('Mapa final'!#REF!="Media",'Mapa final'!#REF!="Moderado"),CONCATENATE("R5C",'Mapa final'!#REF!),"")</f>
        <v>#REF!</v>
      </c>
      <c r="AB30" s="56" t="str">
        <f ca="1">IF(AND('Mapa final'!$AC$89="Media",'Mapa final'!$AE$89="Mayor"),CONCATENATE("R5C",'Mapa final'!$S$89),"")</f>
        <v/>
      </c>
      <c r="AC30" s="57" t="str">
        <f ca="1">IF(AND('Mapa final'!$AC$91="Media",'Mapa final'!$AE$91="Mayor"),CONCATENATE("R5C",'Mapa final'!$S$91),"")</f>
        <v/>
      </c>
      <c r="AD30" s="57" t="str">
        <f ca="1">IF(AND('Mapa final'!$AC$92="Media",'Mapa final'!$AE$92="Mayor"),CONCATENATE("R5C",'Mapa final'!$S$92),"")</f>
        <v/>
      </c>
      <c r="AE30" s="57" t="str">
        <f ca="1">IF(AND('Mapa final'!$AC$95="Media",'Mapa final'!$AE$95="Mayor"),CONCATENATE("R5C",'Mapa final'!$S$95),"")</f>
        <v/>
      </c>
      <c r="AF30" s="57" t="e">
        <f>IF(AND('Mapa final'!#REF!="Media",'Mapa final'!#REF!="Mayor"),CONCATENATE("R5C",'Mapa final'!#REF!),"")</f>
        <v>#REF!</v>
      </c>
      <c r="AG30" s="58" t="e">
        <f>IF(AND('Mapa final'!#REF!="Media",'Mapa final'!#REF!="Mayor"),CONCATENATE("R5C",'Mapa final'!#REF!),"")</f>
        <v>#REF!</v>
      </c>
      <c r="AH30" s="59" t="str">
        <f ca="1">IF(AND('Mapa final'!$AC$89="Media",'Mapa final'!$AE$89="Catastrófico"),CONCATENATE("R5C",'Mapa final'!$S$89),"")</f>
        <v/>
      </c>
      <c r="AI30" s="60" t="str">
        <f ca="1">IF(AND('Mapa final'!$AC$91="Media",'Mapa final'!$AE$91="Catastrófico"),CONCATENATE("R5C",'Mapa final'!$S$91),"")</f>
        <v/>
      </c>
      <c r="AJ30" s="60" t="str">
        <f ca="1">IF(AND('Mapa final'!$AC$92="Media",'Mapa final'!$AE$92="Catastrófico"),CONCATENATE("R5C",'Mapa final'!$S$92),"")</f>
        <v/>
      </c>
      <c r="AK30" s="60" t="str">
        <f ca="1">IF(AND('Mapa final'!$AC$95="Media",'Mapa final'!$AE$95="Catastrófico"),CONCATENATE("R5C",'Mapa final'!$S$95),"")</f>
        <v/>
      </c>
      <c r="AL30" s="60" t="e">
        <f>IF(AND('Mapa final'!#REF!="Media",'Mapa final'!#REF!="Catastrófico"),CONCATENATE("R5C",'Mapa final'!#REF!),"")</f>
        <v>#REF!</v>
      </c>
      <c r="AM30" s="61" t="e">
        <f>IF(AND('Mapa final'!#REF!="Media",'Mapa final'!#REF!="Catastrófico"),CONCATENATE("R5C",'Mapa final'!#REF!),"")</f>
        <v>#REF!</v>
      </c>
      <c r="AN30" s="87"/>
      <c r="AO30" s="823"/>
      <c r="AP30" s="824"/>
      <c r="AQ30" s="824"/>
      <c r="AR30" s="824"/>
      <c r="AS30" s="824"/>
      <c r="AT30" s="825"/>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row>
    <row r="31" spans="1:76" ht="15" customHeight="1" x14ac:dyDescent="0.25">
      <c r="A31" s="87"/>
      <c r="B31" s="695"/>
      <c r="C31" s="695"/>
      <c r="D31" s="696"/>
      <c r="E31" s="794"/>
      <c r="F31" s="793"/>
      <c r="G31" s="793"/>
      <c r="H31" s="793"/>
      <c r="I31" s="809"/>
      <c r="J31" s="71" t="e">
        <f>IF(AND('Mapa final'!#REF!="Media",'Mapa final'!#REF!="Leve"),CONCATENATE("R6C",'Mapa final'!#REF!),"")</f>
        <v>#REF!</v>
      </c>
      <c r="K31" s="72" t="e">
        <f>IF(AND('Mapa final'!#REF!="Media",'Mapa final'!#REF!="Leve"),CONCATENATE("R6C",'Mapa final'!#REF!),"")</f>
        <v>#REF!</v>
      </c>
      <c r="L31" s="72" t="e">
        <f>IF(AND('Mapa final'!#REF!="Media",'Mapa final'!#REF!="Leve"),CONCATENATE("R6C",'Mapa final'!#REF!),"")</f>
        <v>#REF!</v>
      </c>
      <c r="M31" s="72" t="e">
        <f>IF(AND('Mapa final'!#REF!="Media",'Mapa final'!#REF!="Leve"),CONCATENATE("R6C",'Mapa final'!#REF!),"")</f>
        <v>#REF!</v>
      </c>
      <c r="N31" s="72" t="e">
        <f>IF(AND('Mapa final'!#REF!="Media",'Mapa final'!#REF!="Leve"),CONCATENATE("R6C",'Mapa final'!#REF!),"")</f>
        <v>#REF!</v>
      </c>
      <c r="O31" s="73" t="e">
        <f>IF(AND('Mapa final'!#REF!="Media",'Mapa final'!#REF!="Leve"),CONCATENATE("R6C",'Mapa final'!#REF!),"")</f>
        <v>#REF!</v>
      </c>
      <c r="P31" s="71" t="e">
        <f>IF(AND('Mapa final'!#REF!="Media",'Mapa final'!#REF!="Menor"),CONCATENATE("R6C",'Mapa final'!#REF!),"")</f>
        <v>#REF!</v>
      </c>
      <c r="Q31" s="72" t="e">
        <f>IF(AND('Mapa final'!#REF!="Media",'Mapa final'!#REF!="Menor"),CONCATENATE("R6C",'Mapa final'!#REF!),"")</f>
        <v>#REF!</v>
      </c>
      <c r="R31" s="72" t="e">
        <f>IF(AND('Mapa final'!#REF!="Media",'Mapa final'!#REF!="Menor"),CONCATENATE("R6C",'Mapa final'!#REF!),"")</f>
        <v>#REF!</v>
      </c>
      <c r="S31" s="72" t="e">
        <f>IF(AND('Mapa final'!#REF!="Media",'Mapa final'!#REF!="Menor"),CONCATENATE("R6C",'Mapa final'!#REF!),"")</f>
        <v>#REF!</v>
      </c>
      <c r="T31" s="72" t="e">
        <f>IF(AND('Mapa final'!#REF!="Media",'Mapa final'!#REF!="Menor"),CONCATENATE("R6C",'Mapa final'!#REF!),"")</f>
        <v>#REF!</v>
      </c>
      <c r="U31" s="73" t="e">
        <f>IF(AND('Mapa final'!#REF!="Media",'Mapa final'!#REF!="Menor"),CONCATENATE("R6C",'Mapa final'!#REF!),"")</f>
        <v>#REF!</v>
      </c>
      <c r="V31" s="71" t="e">
        <f>IF(AND('Mapa final'!#REF!="Media",'Mapa final'!#REF!="Moderado"),CONCATENATE("R6C",'Mapa final'!#REF!),"")</f>
        <v>#REF!</v>
      </c>
      <c r="W31" s="72" t="e">
        <f>IF(AND('Mapa final'!#REF!="Media",'Mapa final'!#REF!="Moderado"),CONCATENATE("R6C",'Mapa final'!#REF!),"")</f>
        <v>#REF!</v>
      </c>
      <c r="X31" s="72" t="e">
        <f>IF(AND('Mapa final'!#REF!="Media",'Mapa final'!#REF!="Moderado"),CONCATENATE("R6C",'Mapa final'!#REF!),"")</f>
        <v>#REF!</v>
      </c>
      <c r="Y31" s="72" t="e">
        <f>IF(AND('Mapa final'!#REF!="Media",'Mapa final'!#REF!="Moderado"),CONCATENATE("R6C",'Mapa final'!#REF!),"")</f>
        <v>#REF!</v>
      </c>
      <c r="Z31" s="72" t="e">
        <f>IF(AND('Mapa final'!#REF!="Media",'Mapa final'!#REF!="Moderado"),CONCATENATE("R6C",'Mapa final'!#REF!),"")</f>
        <v>#REF!</v>
      </c>
      <c r="AA31" s="73" t="e">
        <f>IF(AND('Mapa final'!#REF!="Media",'Mapa final'!#REF!="Moderado"),CONCATENATE("R6C",'Mapa final'!#REF!),"")</f>
        <v>#REF!</v>
      </c>
      <c r="AB31" s="56" t="e">
        <f>IF(AND('Mapa final'!#REF!="Media",'Mapa final'!#REF!="Mayor"),CONCATENATE("R6C",'Mapa final'!#REF!),"")</f>
        <v>#REF!</v>
      </c>
      <c r="AC31" s="57" t="e">
        <f>IF(AND('Mapa final'!#REF!="Media",'Mapa final'!#REF!="Mayor"),CONCATENATE("R6C",'Mapa final'!#REF!),"")</f>
        <v>#REF!</v>
      </c>
      <c r="AD31" s="57" t="e">
        <f>IF(AND('Mapa final'!#REF!="Media",'Mapa final'!#REF!="Mayor"),CONCATENATE("R6C",'Mapa final'!#REF!),"")</f>
        <v>#REF!</v>
      </c>
      <c r="AE31" s="57" t="e">
        <f>IF(AND('Mapa final'!#REF!="Media",'Mapa final'!#REF!="Mayor"),CONCATENATE("R6C",'Mapa final'!#REF!),"")</f>
        <v>#REF!</v>
      </c>
      <c r="AF31" s="57" t="e">
        <f>IF(AND('Mapa final'!#REF!="Media",'Mapa final'!#REF!="Mayor"),CONCATENATE("R6C",'Mapa final'!#REF!),"")</f>
        <v>#REF!</v>
      </c>
      <c r="AG31" s="58" t="e">
        <f>IF(AND('Mapa final'!#REF!="Media",'Mapa final'!#REF!="Mayor"),CONCATENATE("R6C",'Mapa final'!#REF!),"")</f>
        <v>#REF!</v>
      </c>
      <c r="AH31" s="59" t="e">
        <f>IF(AND('Mapa final'!#REF!="Media",'Mapa final'!#REF!="Catastrófico"),CONCATENATE("R6C",'Mapa final'!#REF!),"")</f>
        <v>#REF!</v>
      </c>
      <c r="AI31" s="60" t="e">
        <f>IF(AND('Mapa final'!#REF!="Media",'Mapa final'!#REF!="Catastrófico"),CONCATENATE("R6C",'Mapa final'!#REF!),"")</f>
        <v>#REF!</v>
      </c>
      <c r="AJ31" s="60" t="e">
        <f>IF(AND('Mapa final'!#REF!="Media",'Mapa final'!#REF!="Catastrófico"),CONCATENATE("R6C",'Mapa final'!#REF!),"")</f>
        <v>#REF!</v>
      </c>
      <c r="AK31" s="60" t="e">
        <f>IF(AND('Mapa final'!#REF!="Media",'Mapa final'!#REF!="Catastrófico"),CONCATENATE("R6C",'Mapa final'!#REF!),"")</f>
        <v>#REF!</v>
      </c>
      <c r="AL31" s="60" t="e">
        <f>IF(AND('Mapa final'!#REF!="Media",'Mapa final'!#REF!="Catastrófico"),CONCATENATE("R6C",'Mapa final'!#REF!),"")</f>
        <v>#REF!</v>
      </c>
      <c r="AM31" s="61" t="e">
        <f>IF(AND('Mapa final'!#REF!="Media",'Mapa final'!#REF!="Catastrófico"),CONCATENATE("R6C",'Mapa final'!#REF!),"")</f>
        <v>#REF!</v>
      </c>
      <c r="AN31" s="87"/>
      <c r="AO31" s="823"/>
      <c r="AP31" s="824"/>
      <c r="AQ31" s="824"/>
      <c r="AR31" s="824"/>
      <c r="AS31" s="824"/>
      <c r="AT31" s="825"/>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row>
    <row r="32" spans="1:76" ht="15" customHeight="1" x14ac:dyDescent="0.25">
      <c r="A32" s="87"/>
      <c r="B32" s="695"/>
      <c r="C32" s="695"/>
      <c r="D32" s="696"/>
      <c r="E32" s="794"/>
      <c r="F32" s="793"/>
      <c r="G32" s="793"/>
      <c r="H32" s="793"/>
      <c r="I32" s="809"/>
      <c r="J32" s="71" t="e">
        <f>IF(AND('Mapa final'!#REF!="Media",'Mapa final'!#REF!="Leve"),CONCATENATE("R7C",'Mapa final'!#REF!),"")</f>
        <v>#REF!</v>
      </c>
      <c r="K32" s="72" t="e">
        <f>IF(AND('Mapa final'!#REF!="Media",'Mapa final'!#REF!="Leve"),CONCATENATE("R7C",'Mapa final'!#REF!),"")</f>
        <v>#REF!</v>
      </c>
      <c r="L32" s="72" t="e">
        <f>IF(AND('Mapa final'!#REF!="Media",'Mapa final'!#REF!="Leve"),CONCATENATE("R7C",'Mapa final'!#REF!),"")</f>
        <v>#REF!</v>
      </c>
      <c r="M32" s="72" t="e">
        <f>IF(AND('Mapa final'!#REF!="Media",'Mapa final'!#REF!="Leve"),CONCATENATE("R7C",'Mapa final'!#REF!),"")</f>
        <v>#REF!</v>
      </c>
      <c r="N32" s="72" t="e">
        <f>IF(AND('Mapa final'!#REF!="Media",'Mapa final'!#REF!="Leve"),CONCATENATE("R7C",'Mapa final'!#REF!),"")</f>
        <v>#REF!</v>
      </c>
      <c r="O32" s="73" t="e">
        <f>IF(AND('Mapa final'!#REF!="Media",'Mapa final'!#REF!="Leve"),CONCATENATE("R7C",'Mapa final'!#REF!),"")</f>
        <v>#REF!</v>
      </c>
      <c r="P32" s="71" t="e">
        <f>IF(AND('Mapa final'!#REF!="Media",'Mapa final'!#REF!="Menor"),CONCATENATE("R7C",'Mapa final'!#REF!),"")</f>
        <v>#REF!</v>
      </c>
      <c r="Q32" s="72" t="e">
        <f>IF(AND('Mapa final'!#REF!="Media",'Mapa final'!#REF!="Menor"),CONCATENATE("R7C",'Mapa final'!#REF!),"")</f>
        <v>#REF!</v>
      </c>
      <c r="R32" s="72" t="e">
        <f>IF(AND('Mapa final'!#REF!="Media",'Mapa final'!#REF!="Menor"),CONCATENATE("R7C",'Mapa final'!#REF!),"")</f>
        <v>#REF!</v>
      </c>
      <c r="S32" s="72" t="e">
        <f>IF(AND('Mapa final'!#REF!="Media",'Mapa final'!#REF!="Menor"),CONCATENATE("R7C",'Mapa final'!#REF!),"")</f>
        <v>#REF!</v>
      </c>
      <c r="T32" s="72" t="e">
        <f>IF(AND('Mapa final'!#REF!="Media",'Mapa final'!#REF!="Menor"),CONCATENATE("R7C",'Mapa final'!#REF!),"")</f>
        <v>#REF!</v>
      </c>
      <c r="U32" s="73" t="e">
        <f>IF(AND('Mapa final'!#REF!="Media",'Mapa final'!#REF!="Menor"),CONCATENATE("R7C",'Mapa final'!#REF!),"")</f>
        <v>#REF!</v>
      </c>
      <c r="V32" s="71" t="e">
        <f>IF(AND('Mapa final'!#REF!="Media",'Mapa final'!#REF!="Moderado"),CONCATENATE("R7C",'Mapa final'!#REF!),"")</f>
        <v>#REF!</v>
      </c>
      <c r="W32" s="72" t="e">
        <f>IF(AND('Mapa final'!#REF!="Media",'Mapa final'!#REF!="Moderado"),CONCATENATE("R7C",'Mapa final'!#REF!),"")</f>
        <v>#REF!</v>
      </c>
      <c r="X32" s="72" t="e">
        <f>IF(AND('Mapa final'!#REF!="Media",'Mapa final'!#REF!="Moderado"),CONCATENATE("R7C",'Mapa final'!#REF!),"")</f>
        <v>#REF!</v>
      </c>
      <c r="Y32" s="72" t="e">
        <f>IF(AND('Mapa final'!#REF!="Media",'Mapa final'!#REF!="Moderado"),CONCATENATE("R7C",'Mapa final'!#REF!),"")</f>
        <v>#REF!</v>
      </c>
      <c r="Z32" s="72" t="e">
        <f>IF(AND('Mapa final'!#REF!="Media",'Mapa final'!#REF!="Moderado"),CONCATENATE("R7C",'Mapa final'!#REF!),"")</f>
        <v>#REF!</v>
      </c>
      <c r="AA32" s="73" t="e">
        <f>IF(AND('Mapa final'!#REF!="Media",'Mapa final'!#REF!="Moderado"),CONCATENATE("R7C",'Mapa final'!#REF!),"")</f>
        <v>#REF!</v>
      </c>
      <c r="AB32" s="56" t="e">
        <f>IF(AND('Mapa final'!#REF!="Media",'Mapa final'!#REF!="Mayor"),CONCATENATE("R7C",'Mapa final'!#REF!),"")</f>
        <v>#REF!</v>
      </c>
      <c r="AC32" s="57" t="e">
        <f>IF(AND('Mapa final'!#REF!="Media",'Mapa final'!#REF!="Mayor"),CONCATENATE("R7C",'Mapa final'!#REF!),"")</f>
        <v>#REF!</v>
      </c>
      <c r="AD32" s="57" t="e">
        <f>IF(AND('Mapa final'!#REF!="Media",'Mapa final'!#REF!="Mayor"),CONCATENATE("R7C",'Mapa final'!#REF!),"")</f>
        <v>#REF!</v>
      </c>
      <c r="AE32" s="57" t="e">
        <f>IF(AND('Mapa final'!#REF!="Media",'Mapa final'!#REF!="Mayor"),CONCATENATE("R7C",'Mapa final'!#REF!),"")</f>
        <v>#REF!</v>
      </c>
      <c r="AF32" s="57" t="e">
        <f>IF(AND('Mapa final'!#REF!="Media",'Mapa final'!#REF!="Mayor"),CONCATENATE("R7C",'Mapa final'!#REF!),"")</f>
        <v>#REF!</v>
      </c>
      <c r="AG32" s="58" t="e">
        <f>IF(AND('Mapa final'!#REF!="Media",'Mapa final'!#REF!="Mayor"),CONCATENATE("R7C",'Mapa final'!#REF!),"")</f>
        <v>#REF!</v>
      </c>
      <c r="AH32" s="59" t="e">
        <f>IF(AND('Mapa final'!#REF!="Media",'Mapa final'!#REF!="Catastrófico"),CONCATENATE("R7C",'Mapa final'!#REF!),"")</f>
        <v>#REF!</v>
      </c>
      <c r="AI32" s="60" t="e">
        <f>IF(AND('Mapa final'!#REF!="Media",'Mapa final'!#REF!="Catastrófico"),CONCATENATE("R7C",'Mapa final'!#REF!),"")</f>
        <v>#REF!</v>
      </c>
      <c r="AJ32" s="60" t="e">
        <f>IF(AND('Mapa final'!#REF!="Media",'Mapa final'!#REF!="Catastrófico"),CONCATENATE("R7C",'Mapa final'!#REF!),"")</f>
        <v>#REF!</v>
      </c>
      <c r="AK32" s="60" t="e">
        <f>IF(AND('Mapa final'!#REF!="Media",'Mapa final'!#REF!="Catastrófico"),CONCATENATE("R7C",'Mapa final'!#REF!),"")</f>
        <v>#REF!</v>
      </c>
      <c r="AL32" s="60" t="e">
        <f>IF(AND('Mapa final'!#REF!="Media",'Mapa final'!#REF!="Catastrófico"),CONCATENATE("R7C",'Mapa final'!#REF!),"")</f>
        <v>#REF!</v>
      </c>
      <c r="AM32" s="61" t="e">
        <f>IF(AND('Mapa final'!#REF!="Media",'Mapa final'!#REF!="Catastrófico"),CONCATENATE("R7C",'Mapa final'!#REF!),"")</f>
        <v>#REF!</v>
      </c>
      <c r="AN32" s="87"/>
      <c r="AO32" s="823"/>
      <c r="AP32" s="824"/>
      <c r="AQ32" s="824"/>
      <c r="AR32" s="824"/>
      <c r="AS32" s="824"/>
      <c r="AT32" s="825"/>
      <c r="AU32" s="87"/>
      <c r="AV32" s="87"/>
      <c r="AW32" s="87"/>
      <c r="AX32" s="87"/>
      <c r="AY32" s="87"/>
      <c r="AZ32" s="87"/>
      <c r="BA32" s="87"/>
      <c r="BB32" s="87"/>
      <c r="BC32" s="87"/>
      <c r="BD32" s="87"/>
      <c r="BE32" s="87"/>
      <c r="BF32" s="87"/>
      <c r="BG32" s="87"/>
      <c r="BH32" s="87"/>
      <c r="BI32" s="87"/>
      <c r="BJ32" s="87"/>
      <c r="BK32" s="87"/>
      <c r="BL32" s="87"/>
      <c r="BM32" s="87"/>
      <c r="BN32" s="87"/>
      <c r="BO32" s="87"/>
      <c r="BP32" s="87"/>
      <c r="BQ32" s="87"/>
      <c r="BR32" s="87"/>
      <c r="BS32" s="87"/>
      <c r="BT32" s="87"/>
      <c r="BU32" s="87"/>
      <c r="BV32" s="87"/>
      <c r="BW32" s="87"/>
      <c r="BX32" s="87"/>
    </row>
    <row r="33" spans="1:80" ht="15" customHeight="1" x14ac:dyDescent="0.25">
      <c r="A33" s="87"/>
      <c r="B33" s="695"/>
      <c r="C33" s="695"/>
      <c r="D33" s="696"/>
      <c r="E33" s="794"/>
      <c r="F33" s="793"/>
      <c r="G33" s="793"/>
      <c r="H33" s="793"/>
      <c r="I33" s="809"/>
      <c r="J33" s="71" t="e">
        <f>IF(AND('Mapa final'!#REF!="Media",'Mapa final'!#REF!="Leve"),CONCATENATE("R8C",'Mapa final'!#REF!),"")</f>
        <v>#REF!</v>
      </c>
      <c r="K33" s="72" t="e">
        <f>IF(AND('Mapa final'!#REF!="Media",'Mapa final'!#REF!="Leve"),CONCATENATE("R8C",'Mapa final'!#REF!),"")</f>
        <v>#REF!</v>
      </c>
      <c r="L33" s="72" t="e">
        <f>IF(AND('Mapa final'!#REF!="Media",'Mapa final'!#REF!="Leve"),CONCATENATE("R8C",'Mapa final'!#REF!),"")</f>
        <v>#REF!</v>
      </c>
      <c r="M33" s="72" t="e">
        <f>IF(AND('Mapa final'!#REF!="Media",'Mapa final'!#REF!="Leve"),CONCATENATE("R8C",'Mapa final'!#REF!),"")</f>
        <v>#REF!</v>
      </c>
      <c r="N33" s="72" t="e">
        <f>IF(AND('Mapa final'!#REF!="Media",'Mapa final'!#REF!="Leve"),CONCATENATE("R8C",'Mapa final'!#REF!),"")</f>
        <v>#REF!</v>
      </c>
      <c r="O33" s="73" t="e">
        <f>IF(AND('Mapa final'!#REF!="Media",'Mapa final'!#REF!="Leve"),CONCATENATE("R8C",'Mapa final'!#REF!),"")</f>
        <v>#REF!</v>
      </c>
      <c r="P33" s="71" t="e">
        <f>IF(AND('Mapa final'!#REF!="Media",'Mapa final'!#REF!="Menor"),CONCATENATE("R8C",'Mapa final'!#REF!),"")</f>
        <v>#REF!</v>
      </c>
      <c r="Q33" s="72" t="e">
        <f>IF(AND('Mapa final'!#REF!="Media",'Mapa final'!#REF!="Menor"),CONCATENATE("R8C",'Mapa final'!#REF!),"")</f>
        <v>#REF!</v>
      </c>
      <c r="R33" s="72" t="e">
        <f>IF(AND('Mapa final'!#REF!="Media",'Mapa final'!#REF!="Menor"),CONCATENATE("R8C",'Mapa final'!#REF!),"")</f>
        <v>#REF!</v>
      </c>
      <c r="S33" s="72" t="e">
        <f>IF(AND('Mapa final'!#REF!="Media",'Mapa final'!#REF!="Menor"),CONCATENATE("R8C",'Mapa final'!#REF!),"")</f>
        <v>#REF!</v>
      </c>
      <c r="T33" s="72" t="e">
        <f>IF(AND('Mapa final'!#REF!="Media",'Mapa final'!#REF!="Menor"),CONCATENATE("R8C",'Mapa final'!#REF!),"")</f>
        <v>#REF!</v>
      </c>
      <c r="U33" s="73" t="e">
        <f>IF(AND('Mapa final'!#REF!="Media",'Mapa final'!#REF!="Menor"),CONCATENATE("R8C",'Mapa final'!#REF!),"")</f>
        <v>#REF!</v>
      </c>
      <c r="V33" s="71" t="e">
        <f>IF(AND('Mapa final'!#REF!="Media",'Mapa final'!#REF!="Moderado"),CONCATENATE("R8C",'Mapa final'!#REF!),"")</f>
        <v>#REF!</v>
      </c>
      <c r="W33" s="72" t="e">
        <f>IF(AND('Mapa final'!#REF!="Media",'Mapa final'!#REF!="Moderado"),CONCATENATE("R8C",'Mapa final'!#REF!),"")</f>
        <v>#REF!</v>
      </c>
      <c r="X33" s="72" t="e">
        <f>IF(AND('Mapa final'!#REF!="Media",'Mapa final'!#REF!="Moderado"),CONCATENATE("R8C",'Mapa final'!#REF!),"")</f>
        <v>#REF!</v>
      </c>
      <c r="Y33" s="72" t="e">
        <f>IF(AND('Mapa final'!#REF!="Media",'Mapa final'!#REF!="Moderado"),CONCATENATE("R8C",'Mapa final'!#REF!),"")</f>
        <v>#REF!</v>
      </c>
      <c r="Z33" s="72" t="e">
        <f>IF(AND('Mapa final'!#REF!="Media",'Mapa final'!#REF!="Moderado"),CONCATENATE("R8C",'Mapa final'!#REF!),"")</f>
        <v>#REF!</v>
      </c>
      <c r="AA33" s="73" t="e">
        <f>IF(AND('Mapa final'!#REF!="Media",'Mapa final'!#REF!="Moderado"),CONCATENATE("R8C",'Mapa final'!#REF!),"")</f>
        <v>#REF!</v>
      </c>
      <c r="AB33" s="56" t="e">
        <f>IF(AND('Mapa final'!#REF!="Media",'Mapa final'!#REF!="Mayor"),CONCATENATE("R8C",'Mapa final'!#REF!),"")</f>
        <v>#REF!</v>
      </c>
      <c r="AC33" s="57" t="e">
        <f>IF(AND('Mapa final'!#REF!="Media",'Mapa final'!#REF!="Mayor"),CONCATENATE("R8C",'Mapa final'!#REF!),"")</f>
        <v>#REF!</v>
      </c>
      <c r="AD33" s="57" t="e">
        <f>IF(AND('Mapa final'!#REF!="Media",'Mapa final'!#REF!="Mayor"),CONCATENATE("R8C",'Mapa final'!#REF!),"")</f>
        <v>#REF!</v>
      </c>
      <c r="AE33" s="57" t="e">
        <f>IF(AND('Mapa final'!#REF!="Media",'Mapa final'!#REF!="Mayor"),CONCATENATE("R8C",'Mapa final'!#REF!),"")</f>
        <v>#REF!</v>
      </c>
      <c r="AF33" s="57" t="e">
        <f>IF(AND('Mapa final'!#REF!="Media",'Mapa final'!#REF!="Mayor"),CONCATENATE("R8C",'Mapa final'!#REF!),"")</f>
        <v>#REF!</v>
      </c>
      <c r="AG33" s="58" t="e">
        <f>IF(AND('Mapa final'!#REF!="Media",'Mapa final'!#REF!="Mayor"),CONCATENATE("R8C",'Mapa final'!#REF!),"")</f>
        <v>#REF!</v>
      </c>
      <c r="AH33" s="59" t="e">
        <f>IF(AND('Mapa final'!#REF!="Media",'Mapa final'!#REF!="Catastrófico"),CONCATENATE("R8C",'Mapa final'!#REF!),"")</f>
        <v>#REF!</v>
      </c>
      <c r="AI33" s="60" t="e">
        <f>IF(AND('Mapa final'!#REF!="Media",'Mapa final'!#REF!="Catastrófico"),CONCATENATE("R8C",'Mapa final'!#REF!),"")</f>
        <v>#REF!</v>
      </c>
      <c r="AJ33" s="60" t="e">
        <f>IF(AND('Mapa final'!#REF!="Media",'Mapa final'!#REF!="Catastrófico"),CONCATENATE("R8C",'Mapa final'!#REF!),"")</f>
        <v>#REF!</v>
      </c>
      <c r="AK33" s="60" t="e">
        <f>IF(AND('Mapa final'!#REF!="Media",'Mapa final'!#REF!="Catastrófico"),CONCATENATE("R8C",'Mapa final'!#REF!),"")</f>
        <v>#REF!</v>
      </c>
      <c r="AL33" s="60" t="e">
        <f>IF(AND('Mapa final'!#REF!="Media",'Mapa final'!#REF!="Catastrófico"),CONCATENATE("R8C",'Mapa final'!#REF!),"")</f>
        <v>#REF!</v>
      </c>
      <c r="AM33" s="61" t="e">
        <f>IF(AND('Mapa final'!#REF!="Media",'Mapa final'!#REF!="Catastrófico"),CONCATENATE("R8C",'Mapa final'!#REF!),"")</f>
        <v>#REF!</v>
      </c>
      <c r="AN33" s="87"/>
      <c r="AO33" s="823"/>
      <c r="AP33" s="824"/>
      <c r="AQ33" s="824"/>
      <c r="AR33" s="824"/>
      <c r="AS33" s="824"/>
      <c r="AT33" s="825"/>
      <c r="AU33" s="87"/>
      <c r="AV33" s="87"/>
      <c r="AW33" s="87"/>
      <c r="AX33" s="87"/>
      <c r="AY33" s="87"/>
      <c r="AZ33" s="87"/>
      <c r="BA33" s="87"/>
      <c r="BB33" s="87"/>
      <c r="BC33" s="87"/>
      <c r="BD33" s="87"/>
      <c r="BE33" s="87"/>
      <c r="BF33" s="87"/>
      <c r="BG33" s="87"/>
      <c r="BH33" s="87"/>
      <c r="BI33" s="87"/>
      <c r="BJ33" s="87"/>
      <c r="BK33" s="87"/>
      <c r="BL33" s="87"/>
      <c r="BM33" s="87"/>
      <c r="BN33" s="87"/>
      <c r="BO33" s="87"/>
      <c r="BP33" s="87"/>
      <c r="BQ33" s="87"/>
      <c r="BR33" s="87"/>
      <c r="BS33" s="87"/>
      <c r="BT33" s="87"/>
      <c r="BU33" s="87"/>
      <c r="BV33" s="87"/>
      <c r="BW33" s="87"/>
      <c r="BX33" s="87"/>
    </row>
    <row r="34" spans="1:80" ht="15" customHeight="1" x14ac:dyDescent="0.25">
      <c r="A34" s="87"/>
      <c r="B34" s="695"/>
      <c r="C34" s="695"/>
      <c r="D34" s="696"/>
      <c r="E34" s="794"/>
      <c r="F34" s="793"/>
      <c r="G34" s="793"/>
      <c r="H34" s="793"/>
      <c r="I34" s="809"/>
      <c r="J34" s="71" t="e">
        <f>IF(AND('Mapa final'!#REF!="Media",'Mapa final'!#REF!="Leve"),CONCATENATE("R9C",'Mapa final'!#REF!),"")</f>
        <v>#REF!</v>
      </c>
      <c r="K34" s="72" t="e">
        <f>IF(AND('Mapa final'!#REF!="Media",'Mapa final'!#REF!="Leve"),CONCATENATE("R9C",'Mapa final'!#REF!),"")</f>
        <v>#REF!</v>
      </c>
      <c r="L34" s="72" t="e">
        <f>IF(AND('Mapa final'!#REF!="Media",'Mapa final'!#REF!="Leve"),CONCATENATE("R9C",'Mapa final'!#REF!),"")</f>
        <v>#REF!</v>
      </c>
      <c r="M34" s="72" t="e">
        <f>IF(AND('Mapa final'!#REF!="Media",'Mapa final'!#REF!="Leve"),CONCATENATE("R9C",'Mapa final'!#REF!),"")</f>
        <v>#REF!</v>
      </c>
      <c r="N34" s="72" t="e">
        <f>IF(AND('Mapa final'!#REF!="Media",'Mapa final'!#REF!="Leve"),CONCATENATE("R9C",'Mapa final'!#REF!),"")</f>
        <v>#REF!</v>
      </c>
      <c r="O34" s="73" t="e">
        <f>IF(AND('Mapa final'!#REF!="Media",'Mapa final'!#REF!="Leve"),CONCATENATE("R9C",'Mapa final'!#REF!),"")</f>
        <v>#REF!</v>
      </c>
      <c r="P34" s="71" t="e">
        <f>IF(AND('Mapa final'!#REF!="Media",'Mapa final'!#REF!="Menor"),CONCATENATE("R9C",'Mapa final'!#REF!),"")</f>
        <v>#REF!</v>
      </c>
      <c r="Q34" s="72" t="e">
        <f>IF(AND('Mapa final'!#REF!="Media",'Mapa final'!#REF!="Menor"),CONCATENATE("R9C",'Mapa final'!#REF!),"")</f>
        <v>#REF!</v>
      </c>
      <c r="R34" s="72" t="e">
        <f>IF(AND('Mapa final'!#REF!="Media",'Mapa final'!#REF!="Menor"),CONCATENATE("R9C",'Mapa final'!#REF!),"")</f>
        <v>#REF!</v>
      </c>
      <c r="S34" s="72" t="e">
        <f>IF(AND('Mapa final'!#REF!="Media",'Mapa final'!#REF!="Menor"),CONCATENATE("R9C",'Mapa final'!#REF!),"")</f>
        <v>#REF!</v>
      </c>
      <c r="T34" s="72" t="e">
        <f>IF(AND('Mapa final'!#REF!="Media",'Mapa final'!#REF!="Menor"),CONCATENATE("R9C",'Mapa final'!#REF!),"")</f>
        <v>#REF!</v>
      </c>
      <c r="U34" s="73" t="e">
        <f>IF(AND('Mapa final'!#REF!="Media",'Mapa final'!#REF!="Menor"),CONCATENATE("R9C",'Mapa final'!#REF!),"")</f>
        <v>#REF!</v>
      </c>
      <c r="V34" s="71" t="e">
        <f>IF(AND('Mapa final'!#REF!="Media",'Mapa final'!#REF!="Moderado"),CONCATENATE("R9C",'Mapa final'!#REF!),"")</f>
        <v>#REF!</v>
      </c>
      <c r="W34" s="72" t="e">
        <f>IF(AND('Mapa final'!#REF!="Media",'Mapa final'!#REF!="Moderado"),CONCATENATE("R9C",'Mapa final'!#REF!),"")</f>
        <v>#REF!</v>
      </c>
      <c r="X34" s="72" t="e">
        <f>IF(AND('Mapa final'!#REF!="Media",'Mapa final'!#REF!="Moderado"),CONCATENATE("R9C",'Mapa final'!#REF!),"")</f>
        <v>#REF!</v>
      </c>
      <c r="Y34" s="72" t="e">
        <f>IF(AND('Mapa final'!#REF!="Media",'Mapa final'!#REF!="Moderado"),CONCATENATE("R9C",'Mapa final'!#REF!),"")</f>
        <v>#REF!</v>
      </c>
      <c r="Z34" s="72" t="e">
        <f>IF(AND('Mapa final'!#REF!="Media",'Mapa final'!#REF!="Moderado"),CONCATENATE("R9C",'Mapa final'!#REF!),"")</f>
        <v>#REF!</v>
      </c>
      <c r="AA34" s="73" t="e">
        <f>IF(AND('Mapa final'!#REF!="Media",'Mapa final'!#REF!="Moderado"),CONCATENATE("R9C",'Mapa final'!#REF!),"")</f>
        <v>#REF!</v>
      </c>
      <c r="AB34" s="56" t="e">
        <f>IF(AND('Mapa final'!#REF!="Media",'Mapa final'!#REF!="Mayor"),CONCATENATE("R9C",'Mapa final'!#REF!),"")</f>
        <v>#REF!</v>
      </c>
      <c r="AC34" s="57" t="e">
        <f>IF(AND('Mapa final'!#REF!="Media",'Mapa final'!#REF!="Mayor"),CONCATENATE("R9C",'Mapa final'!#REF!),"")</f>
        <v>#REF!</v>
      </c>
      <c r="AD34" s="57" t="e">
        <f>IF(AND('Mapa final'!#REF!="Media",'Mapa final'!#REF!="Mayor"),CONCATENATE("R9C",'Mapa final'!#REF!),"")</f>
        <v>#REF!</v>
      </c>
      <c r="AE34" s="57" t="e">
        <f>IF(AND('Mapa final'!#REF!="Media",'Mapa final'!#REF!="Mayor"),CONCATENATE("R9C",'Mapa final'!#REF!),"")</f>
        <v>#REF!</v>
      </c>
      <c r="AF34" s="57" t="e">
        <f>IF(AND('Mapa final'!#REF!="Media",'Mapa final'!#REF!="Mayor"),CONCATENATE("R9C",'Mapa final'!#REF!),"")</f>
        <v>#REF!</v>
      </c>
      <c r="AG34" s="58" t="e">
        <f>IF(AND('Mapa final'!#REF!="Media",'Mapa final'!#REF!="Mayor"),CONCATENATE("R9C",'Mapa final'!#REF!),"")</f>
        <v>#REF!</v>
      </c>
      <c r="AH34" s="59" t="e">
        <f>IF(AND('Mapa final'!#REF!="Media",'Mapa final'!#REF!="Catastrófico"),CONCATENATE("R9C",'Mapa final'!#REF!),"")</f>
        <v>#REF!</v>
      </c>
      <c r="AI34" s="60" t="e">
        <f>IF(AND('Mapa final'!#REF!="Media",'Mapa final'!#REF!="Catastrófico"),CONCATENATE("R9C",'Mapa final'!#REF!),"")</f>
        <v>#REF!</v>
      </c>
      <c r="AJ34" s="60" t="e">
        <f>IF(AND('Mapa final'!#REF!="Media",'Mapa final'!#REF!="Catastrófico"),CONCATENATE("R9C",'Mapa final'!#REF!),"")</f>
        <v>#REF!</v>
      </c>
      <c r="AK34" s="60" t="e">
        <f>IF(AND('Mapa final'!#REF!="Media",'Mapa final'!#REF!="Catastrófico"),CONCATENATE("R9C",'Mapa final'!#REF!),"")</f>
        <v>#REF!</v>
      </c>
      <c r="AL34" s="60" t="e">
        <f>IF(AND('Mapa final'!#REF!="Media",'Mapa final'!#REF!="Catastrófico"),CONCATENATE("R9C",'Mapa final'!#REF!),"")</f>
        <v>#REF!</v>
      </c>
      <c r="AM34" s="61" t="e">
        <f>IF(AND('Mapa final'!#REF!="Media",'Mapa final'!#REF!="Catastrófico"),CONCATENATE("R9C",'Mapa final'!#REF!),"")</f>
        <v>#REF!</v>
      </c>
      <c r="AN34" s="87"/>
      <c r="AO34" s="823"/>
      <c r="AP34" s="824"/>
      <c r="AQ34" s="824"/>
      <c r="AR34" s="824"/>
      <c r="AS34" s="824"/>
      <c r="AT34" s="825"/>
      <c r="AU34" s="87"/>
      <c r="AV34" s="87"/>
      <c r="AW34" s="87"/>
      <c r="AX34" s="87"/>
      <c r="AY34" s="87"/>
      <c r="AZ34" s="87"/>
      <c r="BA34" s="87"/>
      <c r="BB34" s="87"/>
      <c r="BC34" s="87"/>
      <c r="BD34" s="87"/>
      <c r="BE34" s="87"/>
      <c r="BF34" s="87"/>
      <c r="BG34" s="87"/>
      <c r="BH34" s="87"/>
      <c r="BI34" s="87"/>
      <c r="BJ34" s="87"/>
      <c r="BK34" s="87"/>
      <c r="BL34" s="87"/>
      <c r="BM34" s="87"/>
      <c r="BN34" s="87"/>
      <c r="BO34" s="87"/>
      <c r="BP34" s="87"/>
      <c r="BQ34" s="87"/>
      <c r="BR34" s="87"/>
      <c r="BS34" s="87"/>
      <c r="BT34" s="87"/>
      <c r="BU34" s="87"/>
      <c r="BV34" s="87"/>
      <c r="BW34" s="87"/>
      <c r="BX34" s="87"/>
    </row>
    <row r="35" spans="1:80" ht="15.75" customHeight="1" thickBot="1" x14ac:dyDescent="0.3">
      <c r="A35" s="87"/>
      <c r="B35" s="695"/>
      <c r="C35" s="695"/>
      <c r="D35" s="696"/>
      <c r="E35" s="795"/>
      <c r="F35" s="796"/>
      <c r="G35" s="796"/>
      <c r="H35" s="796"/>
      <c r="I35" s="810"/>
      <c r="J35" s="71" t="e">
        <f>IF(AND('Mapa final'!#REF!="Media",'Mapa final'!#REF!="Leve"),CONCATENATE("R10C",'Mapa final'!#REF!),"")</f>
        <v>#REF!</v>
      </c>
      <c r="K35" s="72" t="e">
        <f>IF(AND('Mapa final'!#REF!="Media",'Mapa final'!#REF!="Leve"),CONCATENATE("R10C",'Mapa final'!#REF!),"")</f>
        <v>#REF!</v>
      </c>
      <c r="L35" s="72" t="e">
        <f>IF(AND('Mapa final'!#REF!="Media",'Mapa final'!#REF!="Leve"),CONCATENATE("R10C",'Mapa final'!#REF!),"")</f>
        <v>#REF!</v>
      </c>
      <c r="M35" s="72" t="e">
        <f>IF(AND('Mapa final'!#REF!="Media",'Mapa final'!#REF!="Leve"),CONCATENATE("R10C",'Mapa final'!#REF!),"")</f>
        <v>#REF!</v>
      </c>
      <c r="N35" s="72" t="e">
        <f>IF(AND('Mapa final'!#REF!="Media",'Mapa final'!#REF!="Leve"),CONCATENATE("R10C",'Mapa final'!#REF!),"")</f>
        <v>#REF!</v>
      </c>
      <c r="O35" s="73" t="e">
        <f>IF(AND('Mapa final'!#REF!="Media",'Mapa final'!#REF!="Leve"),CONCATENATE("R10C",'Mapa final'!#REF!),"")</f>
        <v>#REF!</v>
      </c>
      <c r="P35" s="71" t="e">
        <f>IF(AND('Mapa final'!#REF!="Media",'Mapa final'!#REF!="Menor"),CONCATENATE("R10C",'Mapa final'!#REF!),"")</f>
        <v>#REF!</v>
      </c>
      <c r="Q35" s="72" t="e">
        <f>IF(AND('Mapa final'!#REF!="Media",'Mapa final'!#REF!="Menor"),CONCATENATE("R10C",'Mapa final'!#REF!),"")</f>
        <v>#REF!</v>
      </c>
      <c r="R35" s="72" t="e">
        <f>IF(AND('Mapa final'!#REF!="Media",'Mapa final'!#REF!="Menor"),CONCATENATE("R10C",'Mapa final'!#REF!),"")</f>
        <v>#REF!</v>
      </c>
      <c r="S35" s="72" t="e">
        <f>IF(AND('Mapa final'!#REF!="Media",'Mapa final'!#REF!="Menor"),CONCATENATE("R10C",'Mapa final'!#REF!),"")</f>
        <v>#REF!</v>
      </c>
      <c r="T35" s="72" t="e">
        <f>IF(AND('Mapa final'!#REF!="Media",'Mapa final'!#REF!="Menor"),CONCATENATE("R10C",'Mapa final'!#REF!),"")</f>
        <v>#REF!</v>
      </c>
      <c r="U35" s="73" t="e">
        <f>IF(AND('Mapa final'!#REF!="Media",'Mapa final'!#REF!="Menor"),CONCATENATE("R10C",'Mapa final'!#REF!),"")</f>
        <v>#REF!</v>
      </c>
      <c r="V35" s="71" t="e">
        <f>IF(AND('Mapa final'!#REF!="Media",'Mapa final'!#REF!="Moderado"),CONCATENATE("R10C",'Mapa final'!#REF!),"")</f>
        <v>#REF!</v>
      </c>
      <c r="W35" s="72" t="e">
        <f>IF(AND('Mapa final'!#REF!="Media",'Mapa final'!#REF!="Moderado"),CONCATENATE("R10C",'Mapa final'!#REF!),"")</f>
        <v>#REF!</v>
      </c>
      <c r="X35" s="72" t="e">
        <f>IF(AND('Mapa final'!#REF!="Media",'Mapa final'!#REF!="Moderado"),CONCATENATE("R10C",'Mapa final'!#REF!),"")</f>
        <v>#REF!</v>
      </c>
      <c r="Y35" s="72" t="e">
        <f>IF(AND('Mapa final'!#REF!="Media",'Mapa final'!#REF!="Moderado"),CONCATENATE("R10C",'Mapa final'!#REF!),"")</f>
        <v>#REF!</v>
      </c>
      <c r="Z35" s="72" t="e">
        <f>IF(AND('Mapa final'!#REF!="Media",'Mapa final'!#REF!="Moderado"),CONCATENATE("R10C",'Mapa final'!#REF!),"")</f>
        <v>#REF!</v>
      </c>
      <c r="AA35" s="73" t="e">
        <f>IF(AND('Mapa final'!#REF!="Media",'Mapa final'!#REF!="Moderado"),CONCATENATE("R10C",'Mapa final'!#REF!),"")</f>
        <v>#REF!</v>
      </c>
      <c r="AB35" s="62" t="e">
        <f>IF(AND('Mapa final'!#REF!="Media",'Mapa final'!#REF!="Mayor"),CONCATENATE("R10C",'Mapa final'!#REF!),"")</f>
        <v>#REF!</v>
      </c>
      <c r="AC35" s="63" t="e">
        <f>IF(AND('Mapa final'!#REF!="Media",'Mapa final'!#REF!="Mayor"),CONCATENATE("R10C",'Mapa final'!#REF!),"")</f>
        <v>#REF!</v>
      </c>
      <c r="AD35" s="63" t="e">
        <f>IF(AND('Mapa final'!#REF!="Media",'Mapa final'!#REF!="Mayor"),CONCATENATE("R10C",'Mapa final'!#REF!),"")</f>
        <v>#REF!</v>
      </c>
      <c r="AE35" s="63" t="e">
        <f>IF(AND('Mapa final'!#REF!="Media",'Mapa final'!#REF!="Mayor"),CONCATENATE("R10C",'Mapa final'!#REF!),"")</f>
        <v>#REF!</v>
      </c>
      <c r="AF35" s="63" t="e">
        <f>IF(AND('Mapa final'!#REF!="Media",'Mapa final'!#REF!="Mayor"),CONCATENATE("R10C",'Mapa final'!#REF!),"")</f>
        <v>#REF!</v>
      </c>
      <c r="AG35" s="64" t="e">
        <f>IF(AND('Mapa final'!#REF!="Media",'Mapa final'!#REF!="Mayor"),CONCATENATE("R10C",'Mapa final'!#REF!),"")</f>
        <v>#REF!</v>
      </c>
      <c r="AH35" s="65" t="e">
        <f>IF(AND('Mapa final'!#REF!="Media",'Mapa final'!#REF!="Catastrófico"),CONCATENATE("R10C",'Mapa final'!#REF!),"")</f>
        <v>#REF!</v>
      </c>
      <c r="AI35" s="66" t="e">
        <f>IF(AND('Mapa final'!#REF!="Media",'Mapa final'!#REF!="Catastrófico"),CONCATENATE("R10C",'Mapa final'!#REF!),"")</f>
        <v>#REF!</v>
      </c>
      <c r="AJ35" s="66" t="e">
        <f>IF(AND('Mapa final'!#REF!="Media",'Mapa final'!#REF!="Catastrófico"),CONCATENATE("R10C",'Mapa final'!#REF!),"")</f>
        <v>#REF!</v>
      </c>
      <c r="AK35" s="66" t="e">
        <f>IF(AND('Mapa final'!#REF!="Media",'Mapa final'!#REF!="Catastrófico"),CONCATENATE("R10C",'Mapa final'!#REF!),"")</f>
        <v>#REF!</v>
      </c>
      <c r="AL35" s="66" t="e">
        <f>IF(AND('Mapa final'!#REF!="Media",'Mapa final'!#REF!="Catastrófico"),CONCATENATE("R10C",'Mapa final'!#REF!),"")</f>
        <v>#REF!</v>
      </c>
      <c r="AM35" s="67" t="e">
        <f>IF(AND('Mapa final'!#REF!="Media",'Mapa final'!#REF!="Catastrófico"),CONCATENATE("R10C",'Mapa final'!#REF!),"")</f>
        <v>#REF!</v>
      </c>
      <c r="AN35" s="87"/>
      <c r="AO35" s="826"/>
      <c r="AP35" s="827"/>
      <c r="AQ35" s="827"/>
      <c r="AR35" s="827"/>
      <c r="AS35" s="827"/>
      <c r="AT35" s="828"/>
      <c r="AU35" s="87"/>
      <c r="AV35" s="87"/>
      <c r="AW35" s="87"/>
      <c r="AX35" s="87"/>
      <c r="AY35" s="87"/>
      <c r="AZ35" s="87"/>
      <c r="BA35" s="87"/>
      <c r="BB35" s="87"/>
      <c r="BC35" s="87"/>
      <c r="BD35" s="87"/>
      <c r="BE35" s="87"/>
      <c r="BF35" s="87"/>
      <c r="BG35" s="87"/>
      <c r="BH35" s="87"/>
      <c r="BI35" s="87"/>
      <c r="BJ35" s="87"/>
      <c r="BK35" s="87"/>
      <c r="BL35" s="87"/>
      <c r="BM35" s="87"/>
      <c r="BN35" s="87"/>
      <c r="BO35" s="87"/>
      <c r="BP35" s="87"/>
      <c r="BQ35" s="87"/>
      <c r="BR35" s="87"/>
      <c r="BS35" s="87"/>
      <c r="BT35" s="87"/>
      <c r="BU35" s="87"/>
      <c r="BV35" s="87"/>
      <c r="BW35" s="87"/>
      <c r="BX35" s="87"/>
    </row>
    <row r="36" spans="1:80" ht="15" customHeight="1" x14ac:dyDescent="0.25">
      <c r="A36" s="87"/>
      <c r="B36" s="695"/>
      <c r="C36" s="695"/>
      <c r="D36" s="696"/>
      <c r="E36" s="790" t="s">
        <v>465</v>
      </c>
      <c r="F36" s="791"/>
      <c r="G36" s="791"/>
      <c r="H36" s="791"/>
      <c r="I36" s="791"/>
      <c r="J36" s="77" t="str">
        <f ca="1">IF(AND('Mapa final'!$AC$9="Baja",'Mapa final'!$AE$9="Leve"),CONCATENATE("R1C",'Mapa final'!$S$9),"")</f>
        <v/>
      </c>
      <c r="K36" s="78" t="str">
        <f>IF(AND('Mapa final'!$AC$11="Baja",'Mapa final'!$AE$11="Leve"),CONCATENATE("R1C",'Mapa final'!$S$11),"")</f>
        <v/>
      </c>
      <c r="L36" s="78" t="str">
        <f>IF(AND('Mapa final'!$AC$13="Baja",'Mapa final'!$AE$13="Leve"),CONCATENATE("R1C",'Mapa final'!$S$13),"")</f>
        <v/>
      </c>
      <c r="M36" s="78" t="str">
        <f>IF(AND('Mapa final'!$AC$14="Baja",'Mapa final'!$AE$14="Leve"),CONCATENATE("R1C",'Mapa final'!$S$14),"")</f>
        <v/>
      </c>
      <c r="N36" s="78" t="str">
        <f>IF(AND('Mapa final'!$AC$15="Baja",'Mapa final'!$AE$15="Leve"),CONCATENATE("R1C",'Mapa final'!$S$15),"")</f>
        <v/>
      </c>
      <c r="O36" s="79" t="str">
        <f ca="1">IF(AND('Mapa final'!$AC$60="Baja",'Mapa final'!$AE$60="Leve"),CONCATENATE("R1C",'Mapa final'!$S$60),"")</f>
        <v/>
      </c>
      <c r="P36" s="68" t="str">
        <f ca="1">IF(AND('Mapa final'!$AC$9="Baja",'Mapa final'!$AE$9="Menor"),CONCATENATE("R1C",'Mapa final'!$S$9),"")</f>
        <v/>
      </c>
      <c r="Q36" s="69" t="str">
        <f>IF(AND('Mapa final'!$AC$11="Baja",'Mapa final'!$AE$11="Menor"),CONCATENATE("R1C",'Mapa final'!$S$11),"")</f>
        <v/>
      </c>
      <c r="R36" s="69" t="str">
        <f>IF(AND('Mapa final'!$AC$13="Baja",'Mapa final'!$AE$13="Menor"),CONCATENATE("R1C",'Mapa final'!$S$13),"")</f>
        <v/>
      </c>
      <c r="S36" s="69" t="str">
        <f>IF(AND('Mapa final'!$AC$14="Baja",'Mapa final'!$AE$14="Menor"),CONCATENATE("R1C",'Mapa final'!$S$14),"")</f>
        <v/>
      </c>
      <c r="T36" s="69" t="str">
        <f>IF(AND('Mapa final'!$AC$15="Baja",'Mapa final'!$AE$15="Menor"),CONCATENATE("R1C",'Mapa final'!$S$15),"")</f>
        <v/>
      </c>
      <c r="U36" s="70" t="str">
        <f ca="1">IF(AND('Mapa final'!$AC$60="Baja",'Mapa final'!$AE$60="Menor"),CONCATENATE("R1C",'Mapa final'!$S$60),"")</f>
        <v/>
      </c>
      <c r="V36" s="68" t="str">
        <f ca="1">IF(AND('Mapa final'!$AC$9="Baja",'Mapa final'!$AE$9="Moderado"),CONCATENATE("R1C",'Mapa final'!$S$9),"")</f>
        <v/>
      </c>
      <c r="W36" s="69" t="str">
        <f>IF(AND('Mapa final'!$AC$11="Baja",'Mapa final'!$AE$11="Moderado"),CONCATENATE("R1C",'Mapa final'!$S$11),"")</f>
        <v/>
      </c>
      <c r="X36" s="69" t="str">
        <f>IF(AND('Mapa final'!$AC$13="Baja",'Mapa final'!$AE$13="Moderado"),CONCATENATE("R1C",'Mapa final'!$S$13),"")</f>
        <v/>
      </c>
      <c r="Y36" s="69" t="str">
        <f>IF(AND('Mapa final'!$AC$14="Baja",'Mapa final'!$AE$14="Moderado"),CONCATENATE("R1C",'Mapa final'!$S$14),"")</f>
        <v/>
      </c>
      <c r="Z36" s="69" t="str">
        <f>IF(AND('Mapa final'!$AC$15="Baja",'Mapa final'!$AE$15="Moderado"),CONCATENATE("R1C",'Mapa final'!$S$15),"")</f>
        <v/>
      </c>
      <c r="AA36" s="70" t="str">
        <f ca="1">IF(AND('Mapa final'!$AC$60="Baja",'Mapa final'!$AE$60="Moderado"),CONCATENATE("R1C",'Mapa final'!$S$60),"")</f>
        <v>R1C1</v>
      </c>
      <c r="AB36" s="50" t="str">
        <f ca="1">IF(AND('Mapa final'!$AC$9="Baja",'Mapa final'!$AE$9="Mayor"),CONCATENATE("R1C",'Mapa final'!$S$9),"")</f>
        <v/>
      </c>
      <c r="AC36" s="51" t="str">
        <f>IF(AND('Mapa final'!$AC$11="Baja",'Mapa final'!$AE$11="Mayor"),CONCATENATE("R1C",'Mapa final'!$S$11),"")</f>
        <v/>
      </c>
      <c r="AD36" s="51" t="str">
        <f>IF(AND('Mapa final'!$AC$13="Baja",'Mapa final'!$AE$13="Mayor"),CONCATENATE("R1C",'Mapa final'!$S$13),"")</f>
        <v/>
      </c>
      <c r="AE36" s="51" t="str">
        <f>IF(AND('Mapa final'!$AC$14="Baja",'Mapa final'!$AE$14="Mayor"),CONCATENATE("R1C",'Mapa final'!$S$14),"")</f>
        <v>R1C1</v>
      </c>
      <c r="AF36" s="51" t="str">
        <f>IF(AND('Mapa final'!$AC$15="Baja",'Mapa final'!$AE$15="Mayor"),CONCATENATE("R1C",'Mapa final'!$S$15),"")</f>
        <v>R1C2</v>
      </c>
      <c r="AG36" s="52" t="str">
        <f ca="1">IF(AND('Mapa final'!$AC$60="Baja",'Mapa final'!$AE$60="Mayor"),CONCATENATE("R1C",'Mapa final'!$S$60),"")</f>
        <v/>
      </c>
      <c r="AH36" s="53" t="str">
        <f ca="1">IF(AND('Mapa final'!$AC$9="Baja",'Mapa final'!$AE$9="Catastrófico"),CONCATENATE("R1C",'Mapa final'!$S$9),"")</f>
        <v/>
      </c>
      <c r="AI36" s="54" t="str">
        <f>IF(AND('Mapa final'!$AC$11="Baja",'Mapa final'!$AE$11="Catastrófico"),CONCATENATE("R1C",'Mapa final'!$S$11),"")</f>
        <v/>
      </c>
      <c r="AJ36" s="54" t="str">
        <f>IF(AND('Mapa final'!$AC$13="Baja",'Mapa final'!$AE$13="Catastrófico"),CONCATENATE("R1C",'Mapa final'!$S$13),"")</f>
        <v/>
      </c>
      <c r="AK36" s="54" t="str">
        <f>IF(AND('Mapa final'!$AC$14="Baja",'Mapa final'!$AE$14="Catastrófico"),CONCATENATE("R1C",'Mapa final'!$S$14),"")</f>
        <v/>
      </c>
      <c r="AL36" s="54" t="str">
        <f>IF(AND('Mapa final'!$AC$15="Baja",'Mapa final'!$AE$15="Catastrófico"),CONCATENATE("R1C",'Mapa final'!$S$15),"")</f>
        <v/>
      </c>
      <c r="AM36" s="55" t="str">
        <f ca="1">IF(AND('Mapa final'!$AC$60="Baja",'Mapa final'!$AE$60="Catastrófico"),CONCATENATE("R1C",'Mapa final'!$S$60),"")</f>
        <v/>
      </c>
      <c r="AN36" s="87"/>
      <c r="AO36" s="811" t="s">
        <v>466</v>
      </c>
      <c r="AP36" s="812"/>
      <c r="AQ36" s="812"/>
      <c r="AR36" s="812"/>
      <c r="AS36" s="812"/>
      <c r="AT36" s="813"/>
      <c r="AU36" s="87"/>
      <c r="AV36" s="87"/>
      <c r="AW36" s="87"/>
      <c r="AX36" s="87"/>
      <c r="AY36" s="87"/>
      <c r="AZ36" s="87"/>
      <c r="BA36" s="87"/>
      <c r="BB36" s="87"/>
      <c r="BC36" s="87"/>
      <c r="BD36" s="87"/>
      <c r="BE36" s="87"/>
      <c r="BF36" s="87"/>
      <c r="BG36" s="87"/>
      <c r="BH36" s="87"/>
      <c r="BI36" s="87"/>
      <c r="BJ36" s="87"/>
      <c r="BK36" s="87"/>
      <c r="BL36" s="87"/>
      <c r="BM36" s="87"/>
      <c r="BN36" s="87"/>
      <c r="BO36" s="87"/>
      <c r="BP36" s="87"/>
      <c r="BQ36" s="87"/>
      <c r="BR36" s="87"/>
      <c r="BS36" s="87"/>
      <c r="BT36" s="87"/>
      <c r="BU36" s="87"/>
      <c r="BV36" s="87"/>
      <c r="BW36" s="87"/>
      <c r="BX36" s="87"/>
    </row>
    <row r="37" spans="1:80" ht="15" customHeight="1" x14ac:dyDescent="0.25">
      <c r="A37" s="87"/>
      <c r="B37" s="695"/>
      <c r="C37" s="695"/>
      <c r="D37" s="696"/>
      <c r="E37" s="792"/>
      <c r="F37" s="793"/>
      <c r="G37" s="793"/>
      <c r="H37" s="793"/>
      <c r="I37" s="793"/>
      <c r="J37" s="80" t="str">
        <f ca="1">IF(AND('Mapa final'!$AC$63="Baja",'Mapa final'!$AE$63="Leve"),CONCATENATE("R2C",'Mapa final'!$S$63),"")</f>
        <v/>
      </c>
      <c r="K37" s="81" t="str">
        <f ca="1">IF(AND('Mapa final'!$AC$66="Baja",'Mapa final'!$AE$66="Leve"),CONCATENATE("R2C",'Mapa final'!$S$66),"")</f>
        <v/>
      </c>
      <c r="L37" s="81" t="str">
        <f ca="1">IF(AND('Mapa final'!$AC$69="Baja",'Mapa final'!$AE$69="Leve"),CONCATENATE("R2C",'Mapa final'!$S$69),"")</f>
        <v/>
      </c>
      <c r="M37" s="81" t="str">
        <f ca="1">IF(AND('Mapa final'!$AC$70="Baja",'Mapa final'!$AE$70="Leve"),CONCATENATE("R2C",'Mapa final'!$S$70),"")</f>
        <v/>
      </c>
      <c r="N37" s="81" t="str">
        <f ca="1">IF(AND('Mapa final'!$AC$71="Baja",'Mapa final'!$AE$71="Leve"),CONCATENATE("R2C",'Mapa final'!$S$71),"")</f>
        <v/>
      </c>
      <c r="O37" s="82" t="str">
        <f ca="1">IF(AND('Mapa final'!$AC$74="Baja",'Mapa final'!$AE$74="Leve"),CONCATENATE("R2C",'Mapa final'!$S$74),"")</f>
        <v/>
      </c>
      <c r="P37" s="71" t="str">
        <f ca="1">IF(AND('Mapa final'!$AC$63="Baja",'Mapa final'!$AE$63="Menor"),CONCATENATE("R2C",'Mapa final'!$S$63),"")</f>
        <v/>
      </c>
      <c r="Q37" s="72" t="str">
        <f ca="1">IF(AND('Mapa final'!$AC$66="Baja",'Mapa final'!$AE$66="Menor"),CONCATENATE("R2C",'Mapa final'!$S$66),"")</f>
        <v/>
      </c>
      <c r="R37" s="72" t="str">
        <f ca="1">IF(AND('Mapa final'!$AC$69="Baja",'Mapa final'!$AE$69="Menor"),CONCATENATE("R2C",'Mapa final'!$S$69),"")</f>
        <v/>
      </c>
      <c r="S37" s="72" t="str">
        <f ca="1">IF(AND('Mapa final'!$AC$70="Baja",'Mapa final'!$AE$70="Menor"),CONCATENATE("R2C",'Mapa final'!$S$70),"")</f>
        <v/>
      </c>
      <c r="T37" s="72" t="str">
        <f ca="1">IF(AND('Mapa final'!$AC$71="Baja",'Mapa final'!$AE$71="Menor"),CONCATENATE("R2C",'Mapa final'!$S$71),"")</f>
        <v/>
      </c>
      <c r="U37" s="73" t="str">
        <f ca="1">IF(AND('Mapa final'!$AC$74="Baja",'Mapa final'!$AE$74="Menor"),CONCATENATE("R2C",'Mapa final'!$S$74),"")</f>
        <v/>
      </c>
      <c r="V37" s="71" t="str">
        <f ca="1">IF(AND('Mapa final'!$AC$63="Baja",'Mapa final'!$AE$63="Moderado"),CONCATENATE("R2C",'Mapa final'!$S$63),"")</f>
        <v/>
      </c>
      <c r="W37" s="72" t="str">
        <f ca="1">IF(AND('Mapa final'!$AC$66="Baja",'Mapa final'!$AE$66="Moderado"),CONCATENATE("R2C",'Mapa final'!$S$66),"")</f>
        <v/>
      </c>
      <c r="X37" s="72" t="str">
        <f ca="1">IF(AND('Mapa final'!$AC$69="Baja",'Mapa final'!$AE$69="Moderado"),CONCATENATE("R2C",'Mapa final'!$S$69),"")</f>
        <v>R2C1</v>
      </c>
      <c r="Y37" s="72" t="str">
        <f ca="1">IF(AND('Mapa final'!$AC$70="Baja",'Mapa final'!$AE$70="Moderado"),CONCATENATE("R2C",'Mapa final'!$S$70),"")</f>
        <v/>
      </c>
      <c r="Z37" s="72" t="str">
        <f ca="1">IF(AND('Mapa final'!$AC$71="Baja",'Mapa final'!$AE$71="Moderado"),CONCATENATE("R2C",'Mapa final'!$S$71),"")</f>
        <v/>
      </c>
      <c r="AA37" s="73" t="str">
        <f ca="1">IF(AND('Mapa final'!$AC$74="Baja",'Mapa final'!$AE$74="Moderado"),CONCATENATE("R2C",'Mapa final'!$S$74),"")</f>
        <v/>
      </c>
      <c r="AB37" s="56" t="str">
        <f ca="1">IF(AND('Mapa final'!$AC$63="Baja",'Mapa final'!$AE$63="Mayor"),CONCATENATE("R2C",'Mapa final'!$S$63),"")</f>
        <v/>
      </c>
      <c r="AC37" s="57" t="str">
        <f ca="1">IF(AND('Mapa final'!$AC$66="Baja",'Mapa final'!$AE$66="Mayor"),CONCATENATE("R2C",'Mapa final'!$S$66),"")</f>
        <v/>
      </c>
      <c r="AD37" s="57" t="str">
        <f ca="1">IF(AND('Mapa final'!$AC$69="Baja",'Mapa final'!$AE$69="Mayor"),CONCATENATE("R2C",'Mapa final'!$S$69),"")</f>
        <v/>
      </c>
      <c r="AE37" s="57" t="str">
        <f ca="1">IF(AND('Mapa final'!$AC$70="Baja",'Mapa final'!$AE$70="Mayor"),CONCATENATE("R2C",'Mapa final'!$S$70),"")</f>
        <v/>
      </c>
      <c r="AF37" s="57" t="str">
        <f ca="1">IF(AND('Mapa final'!$AC$71="Baja",'Mapa final'!$AE$71="Mayor"),CONCATENATE("R2C",'Mapa final'!$S$71),"")</f>
        <v/>
      </c>
      <c r="AG37" s="58" t="str">
        <f ca="1">IF(AND('Mapa final'!$AC$74="Baja",'Mapa final'!$AE$74="Mayor"),CONCATENATE("R2C",'Mapa final'!$S$74),"")</f>
        <v>R2C1</v>
      </c>
      <c r="AH37" s="59" t="str">
        <f ca="1">IF(AND('Mapa final'!$AC$63="Baja",'Mapa final'!$AE$63="Catastrófico"),CONCATENATE("R2C",'Mapa final'!$S$63),"")</f>
        <v/>
      </c>
      <c r="AI37" s="60" t="str">
        <f ca="1">IF(AND('Mapa final'!$AC$66="Baja",'Mapa final'!$AE$66="Catastrófico"),CONCATENATE("R2C",'Mapa final'!$S$66),"")</f>
        <v/>
      </c>
      <c r="AJ37" s="60" t="str">
        <f ca="1">IF(AND('Mapa final'!$AC$69="Baja",'Mapa final'!$AE$69="Catastrófico"),CONCATENATE("R2C",'Mapa final'!$S$69),"")</f>
        <v/>
      </c>
      <c r="AK37" s="60" t="str">
        <f ca="1">IF(AND('Mapa final'!$AC$70="Baja",'Mapa final'!$AE$70="Catastrófico"),CONCATENATE("R2C",'Mapa final'!$S$70),"")</f>
        <v/>
      </c>
      <c r="AL37" s="60" t="str">
        <f ca="1">IF(AND('Mapa final'!$AC$71="Baja",'Mapa final'!$AE$71="Catastrófico"),CONCATENATE("R2C",'Mapa final'!$S$71),"")</f>
        <v/>
      </c>
      <c r="AM37" s="61" t="str">
        <f ca="1">IF(AND('Mapa final'!$AC$74="Baja",'Mapa final'!$AE$74="Catastrófico"),CONCATENATE("R2C",'Mapa final'!$S$74),"")</f>
        <v/>
      </c>
      <c r="AN37" s="87"/>
      <c r="AO37" s="814"/>
      <c r="AP37" s="815"/>
      <c r="AQ37" s="815"/>
      <c r="AR37" s="815"/>
      <c r="AS37" s="815"/>
      <c r="AT37" s="816"/>
      <c r="AU37" s="87"/>
      <c r="AV37" s="87"/>
      <c r="AW37" s="87"/>
      <c r="AX37" s="87"/>
      <c r="AY37" s="87"/>
      <c r="AZ37" s="87"/>
      <c r="BA37" s="87"/>
      <c r="BB37" s="87"/>
      <c r="BC37" s="87"/>
      <c r="BD37" s="87"/>
      <c r="BE37" s="87"/>
      <c r="BF37" s="87"/>
      <c r="BG37" s="87"/>
      <c r="BH37" s="87"/>
      <c r="BI37" s="87"/>
      <c r="BJ37" s="87"/>
      <c r="BK37" s="87"/>
      <c r="BL37" s="87"/>
      <c r="BM37" s="87"/>
      <c r="BN37" s="87"/>
      <c r="BO37" s="87"/>
      <c r="BP37" s="87"/>
      <c r="BQ37" s="87"/>
      <c r="BR37" s="87"/>
      <c r="BS37" s="87"/>
      <c r="BT37" s="87"/>
      <c r="BU37" s="87"/>
      <c r="BV37" s="87"/>
      <c r="BW37" s="87"/>
      <c r="BX37" s="87"/>
    </row>
    <row r="38" spans="1:80" ht="15" customHeight="1" x14ac:dyDescent="0.25">
      <c r="A38" s="87"/>
      <c r="B38" s="695"/>
      <c r="C38" s="695"/>
      <c r="D38" s="696"/>
      <c r="E38" s="794"/>
      <c r="F38" s="793"/>
      <c r="G38" s="793"/>
      <c r="H38" s="793"/>
      <c r="I38" s="793"/>
      <c r="J38" s="80" t="str">
        <f ca="1">IF(AND('Mapa final'!$AC$75="Baja",'Mapa final'!$AE$75="Leve"),CONCATENATE("R3C",'Mapa final'!$S$75),"")</f>
        <v/>
      </c>
      <c r="K38" s="81" t="str">
        <f>IF(AND('Mapa final'!$AC$76="Baja",'Mapa final'!$AE$76="Leve"),CONCATENATE("R3C",'Mapa final'!$S$76),"")</f>
        <v/>
      </c>
      <c r="L38" s="81" t="str">
        <f>IF(AND('Mapa final'!$AC$77="Baja",'Mapa final'!$AE$77="Leve"),CONCATENATE("R3C",'Mapa final'!$S$77),"")</f>
        <v/>
      </c>
      <c r="M38" s="81" t="str">
        <f>IF(AND('Mapa final'!$AC$78="Baja",'Mapa final'!$AE$78="Leve"),CONCATENATE("R3C",'Mapa final'!$S$78),"")</f>
        <v/>
      </c>
      <c r="N38" s="81" t="str">
        <f>IF(AND('Mapa final'!$AC$79="Baja",'Mapa final'!$AE$79="Leve"),CONCATENATE("R3C",'Mapa final'!$S$79),"")</f>
        <v/>
      </c>
      <c r="O38" s="82" t="str">
        <f ca="1">IF(AND('Mapa final'!$AC$80="Baja",'Mapa final'!$AE$80="Leve"),CONCATENATE("R3C",'Mapa final'!$S$80),"")</f>
        <v/>
      </c>
      <c r="P38" s="71" t="str">
        <f ca="1">IF(AND('Mapa final'!$AC$75="Baja",'Mapa final'!$AE$75="Menor"),CONCATENATE("R3C",'Mapa final'!$S$75),"")</f>
        <v/>
      </c>
      <c r="Q38" s="72" t="str">
        <f>IF(AND('Mapa final'!$AC$76="Baja",'Mapa final'!$AE$76="Menor"),CONCATENATE("R3C",'Mapa final'!$S$76),"")</f>
        <v/>
      </c>
      <c r="R38" s="72" t="str">
        <f>IF(AND('Mapa final'!$AC$77="Baja",'Mapa final'!$AE$77="Menor"),CONCATENATE("R3C",'Mapa final'!$S$77),"")</f>
        <v/>
      </c>
      <c r="S38" s="72" t="str">
        <f>IF(AND('Mapa final'!$AC$78="Baja",'Mapa final'!$AE$78="Menor"),CONCATENATE("R3C",'Mapa final'!$S$78),"")</f>
        <v/>
      </c>
      <c r="T38" s="72" t="str">
        <f>IF(AND('Mapa final'!$AC$79="Baja",'Mapa final'!$AE$79="Menor"),CONCATENATE("R3C",'Mapa final'!$S$79),"")</f>
        <v/>
      </c>
      <c r="U38" s="73" t="str">
        <f ca="1">IF(AND('Mapa final'!$AC$80="Baja",'Mapa final'!$AE$80="Menor"),CONCATENATE("R3C",'Mapa final'!$S$80),"")</f>
        <v/>
      </c>
      <c r="V38" s="71" t="str">
        <f ca="1">IF(AND('Mapa final'!$AC$75="Baja",'Mapa final'!$AE$75="Moderado"),CONCATENATE("R3C",'Mapa final'!$S$75),"")</f>
        <v/>
      </c>
      <c r="W38" s="72" t="str">
        <f>IF(AND('Mapa final'!$AC$76="Baja",'Mapa final'!$AE$76="Moderado"),CONCATENATE("R3C",'Mapa final'!$S$76),"")</f>
        <v/>
      </c>
      <c r="X38" s="72" t="str">
        <f>IF(AND('Mapa final'!$AC$77="Baja",'Mapa final'!$AE$77="Moderado"),CONCATENATE("R3C",'Mapa final'!$S$77),"")</f>
        <v/>
      </c>
      <c r="Y38" s="72" t="str">
        <f>IF(AND('Mapa final'!$AC$78="Baja",'Mapa final'!$AE$78="Moderado"),CONCATENATE("R3C",'Mapa final'!$S$78),"")</f>
        <v/>
      </c>
      <c r="Z38" s="72" t="str">
        <f>IF(AND('Mapa final'!$AC$79="Baja",'Mapa final'!$AE$79="Moderado"),CONCATENATE("R3C",'Mapa final'!$S$79),"")</f>
        <v/>
      </c>
      <c r="AA38" s="73" t="str">
        <f ca="1">IF(AND('Mapa final'!$AC$80="Baja",'Mapa final'!$AE$80="Moderado"),CONCATENATE("R3C",'Mapa final'!$S$80),"")</f>
        <v/>
      </c>
      <c r="AB38" s="56" t="str">
        <f ca="1">IF(AND('Mapa final'!$AC$75="Baja",'Mapa final'!$AE$75="Mayor"),CONCATENATE("R3C",'Mapa final'!$S$75),"")</f>
        <v>R3C2</v>
      </c>
      <c r="AC38" s="57" t="str">
        <f>IF(AND('Mapa final'!$AC$76="Baja",'Mapa final'!$AE$76="Mayor"),CONCATENATE("R3C",'Mapa final'!$S$76),"")</f>
        <v/>
      </c>
      <c r="AD38" s="57" t="str">
        <f>IF(AND('Mapa final'!$AC$77="Baja",'Mapa final'!$AE$77="Mayor"),CONCATENATE("R3C",'Mapa final'!$S$77),"")</f>
        <v/>
      </c>
      <c r="AE38" s="57" t="str">
        <f>IF(AND('Mapa final'!$AC$78="Baja",'Mapa final'!$AE$78="Mayor"),CONCATENATE("R3C",'Mapa final'!$S$78),"")</f>
        <v/>
      </c>
      <c r="AF38" s="57" t="str">
        <f>IF(AND('Mapa final'!$AC$79="Baja",'Mapa final'!$AE$79="Mayor"),CONCATENATE("R3C",'Mapa final'!$S$79),"")</f>
        <v/>
      </c>
      <c r="AG38" s="58" t="str">
        <f ca="1">IF(AND('Mapa final'!$AC$80="Baja",'Mapa final'!$AE$80="Mayor"),CONCATENATE("R3C",'Mapa final'!$S$80),"")</f>
        <v>R3C1</v>
      </c>
      <c r="AH38" s="59" t="str">
        <f ca="1">IF(AND('Mapa final'!$AC$75="Baja",'Mapa final'!$AE$75="Catastrófico"),CONCATENATE("R3C",'Mapa final'!$S$75),"")</f>
        <v/>
      </c>
      <c r="AI38" s="60" t="str">
        <f>IF(AND('Mapa final'!$AC$76="Baja",'Mapa final'!$AE$76="Catastrófico"),CONCATENATE("R3C",'Mapa final'!$S$76),"")</f>
        <v/>
      </c>
      <c r="AJ38" s="60" t="str">
        <f>IF(AND('Mapa final'!$AC$77="Baja",'Mapa final'!$AE$77="Catastrófico"),CONCATENATE("R3C",'Mapa final'!$S$77),"")</f>
        <v/>
      </c>
      <c r="AK38" s="60" t="str">
        <f>IF(AND('Mapa final'!$AC$78="Baja",'Mapa final'!$AE$78="Catastrófico"),CONCATENATE("R3C",'Mapa final'!$S$78),"")</f>
        <v/>
      </c>
      <c r="AL38" s="60" t="str">
        <f>IF(AND('Mapa final'!$AC$79="Baja",'Mapa final'!$AE$79="Catastrófico"),CONCATENATE("R3C",'Mapa final'!$S$79),"")</f>
        <v/>
      </c>
      <c r="AM38" s="61" t="str">
        <f ca="1">IF(AND('Mapa final'!$AC$80="Baja",'Mapa final'!$AE$80="Catastrófico"),CONCATENATE("R3C",'Mapa final'!$S$80),"")</f>
        <v/>
      </c>
      <c r="AN38" s="87"/>
      <c r="AO38" s="814"/>
      <c r="AP38" s="815"/>
      <c r="AQ38" s="815"/>
      <c r="AR38" s="815"/>
      <c r="AS38" s="815"/>
      <c r="AT38" s="816"/>
      <c r="AU38" s="87"/>
      <c r="AV38" s="87"/>
      <c r="AW38" s="87"/>
      <c r="AX38" s="87"/>
      <c r="AY38" s="87"/>
      <c r="AZ38" s="87"/>
      <c r="BA38" s="87"/>
      <c r="BB38" s="87"/>
      <c r="BC38" s="87"/>
      <c r="BD38" s="87"/>
      <c r="BE38" s="87"/>
      <c r="BF38" s="87"/>
      <c r="BG38" s="87"/>
      <c r="BH38" s="87"/>
      <c r="BI38" s="87"/>
      <c r="BJ38" s="87"/>
      <c r="BK38" s="87"/>
      <c r="BL38" s="87"/>
      <c r="BM38" s="87"/>
      <c r="BN38" s="87"/>
      <c r="BO38" s="87"/>
      <c r="BP38" s="87"/>
      <c r="BQ38" s="87"/>
      <c r="BR38" s="87"/>
      <c r="BS38" s="87"/>
      <c r="BT38" s="87"/>
      <c r="BU38" s="87"/>
      <c r="BV38" s="87"/>
      <c r="BW38" s="87"/>
      <c r="BX38" s="87"/>
    </row>
    <row r="39" spans="1:80" ht="15" customHeight="1" x14ac:dyDescent="0.25">
      <c r="A39" s="87"/>
      <c r="B39" s="695"/>
      <c r="C39" s="695"/>
      <c r="D39" s="696"/>
      <c r="E39" s="794"/>
      <c r="F39" s="793"/>
      <c r="G39" s="793"/>
      <c r="H39" s="793"/>
      <c r="I39" s="793"/>
      <c r="J39" s="80" t="str">
        <f ca="1">IF(AND('Mapa final'!$AC$81="Baja",'Mapa final'!$AE$81="Leve"),CONCATENATE("R4C",'Mapa final'!$S$81),"")</f>
        <v/>
      </c>
      <c r="K39" s="81" t="str">
        <f ca="1">IF(AND('Mapa final'!$AC$86="Baja",'Mapa final'!$AE$86="Leve"),CONCATENATE("R4C",'Mapa final'!$S$86),"")</f>
        <v/>
      </c>
      <c r="L39" s="81" t="e">
        <f>IF(AND('Mapa final'!#REF!="Baja",'Mapa final'!#REF!="Leve"),CONCATENATE("R4C",'Mapa final'!#REF!),"")</f>
        <v>#REF!</v>
      </c>
      <c r="M39" s="81" t="str">
        <f ca="1">IF(AND('Mapa final'!$AC$87="Baja",'Mapa final'!$AE$87="Leve"),CONCATENATE("R4C",'Mapa final'!$S$87),"")</f>
        <v/>
      </c>
      <c r="N39" s="81" t="str">
        <f ca="1">IF(AND('Mapa final'!$AC$88="Baja",'Mapa final'!$AE$88="Leve"),CONCATENATE("R4C",'Mapa final'!$S$88),"")</f>
        <v/>
      </c>
      <c r="O39" s="82" t="e">
        <f>IF(AND('Mapa final'!#REF!="Baja",'Mapa final'!#REF!="Leve"),CONCATENATE("R4C",'Mapa final'!#REF!),"")</f>
        <v>#REF!</v>
      </c>
      <c r="P39" s="71" t="str">
        <f ca="1">IF(AND('Mapa final'!$AC$81="Baja",'Mapa final'!$AE$81="Menor"),CONCATENATE("R4C",'Mapa final'!$S$81),"")</f>
        <v/>
      </c>
      <c r="Q39" s="72" t="str">
        <f ca="1">IF(AND('Mapa final'!$AC$86="Baja",'Mapa final'!$AE$86="Menor"),CONCATENATE("R4C",'Mapa final'!$S$86),"")</f>
        <v>R4C1</v>
      </c>
      <c r="R39" s="72" t="e">
        <f>IF(AND('Mapa final'!#REF!="Baja",'Mapa final'!#REF!="Menor"),CONCATENATE("R4C",'Mapa final'!#REF!),"")</f>
        <v>#REF!</v>
      </c>
      <c r="S39" s="72" t="str">
        <f ca="1">IF(AND('Mapa final'!$AC$87="Baja",'Mapa final'!$AE$87="Menor"),CONCATENATE("R4C",'Mapa final'!$S$87),"")</f>
        <v/>
      </c>
      <c r="T39" s="72" t="str">
        <f ca="1">IF(AND('Mapa final'!$AC$88="Baja",'Mapa final'!$AE$88="Menor"),CONCATENATE("R4C",'Mapa final'!$S$88),"")</f>
        <v>R4C2</v>
      </c>
      <c r="U39" s="73" t="e">
        <f>IF(AND('Mapa final'!#REF!="Baja",'Mapa final'!#REF!="Menor"),CONCATENATE("R4C",'Mapa final'!#REF!),"")</f>
        <v>#REF!</v>
      </c>
      <c r="V39" s="71" t="str">
        <f ca="1">IF(AND('Mapa final'!$AC$81="Baja",'Mapa final'!$AE$81="Moderado"),CONCATENATE("R4C",'Mapa final'!$S$81),"")</f>
        <v/>
      </c>
      <c r="W39" s="72" t="str">
        <f ca="1">IF(AND('Mapa final'!$AC$86="Baja",'Mapa final'!$AE$86="Moderado"),CONCATENATE("R4C",'Mapa final'!$S$86),"")</f>
        <v/>
      </c>
      <c r="X39" s="72" t="e">
        <f>IF(AND('Mapa final'!#REF!="Baja",'Mapa final'!#REF!="Moderado"),CONCATENATE("R4C",'Mapa final'!#REF!),"")</f>
        <v>#REF!</v>
      </c>
      <c r="Y39" s="72" t="str">
        <f ca="1">IF(AND('Mapa final'!$AC$87="Baja",'Mapa final'!$AE$87="Moderado"),CONCATENATE("R4C",'Mapa final'!$S$87),"")</f>
        <v/>
      </c>
      <c r="Z39" s="72" t="str">
        <f ca="1">IF(AND('Mapa final'!$AC$88="Baja",'Mapa final'!$AE$88="Moderado"),CONCATENATE("R4C",'Mapa final'!$S$88),"")</f>
        <v/>
      </c>
      <c r="AA39" s="73" t="e">
        <f>IF(AND('Mapa final'!#REF!="Baja",'Mapa final'!#REF!="Moderado"),CONCATENATE("R4C",'Mapa final'!#REF!),"")</f>
        <v>#REF!</v>
      </c>
      <c r="AB39" s="56" t="str">
        <f ca="1">IF(AND('Mapa final'!$AC$81="Baja",'Mapa final'!$AE$81="Mayor"),CONCATENATE("R4C",'Mapa final'!$S$81),"")</f>
        <v>R4C2</v>
      </c>
      <c r="AC39" s="57" t="str">
        <f ca="1">IF(AND('Mapa final'!$AC$86="Baja",'Mapa final'!$AE$86="Mayor"),CONCATENATE("R4C",'Mapa final'!$S$86),"")</f>
        <v/>
      </c>
      <c r="AD39" s="57" t="e">
        <f>IF(AND('Mapa final'!#REF!="Baja",'Mapa final'!#REF!="Mayor"),CONCATENATE("R4C",'Mapa final'!#REF!),"")</f>
        <v>#REF!</v>
      </c>
      <c r="AE39" s="57" t="str">
        <f ca="1">IF(AND('Mapa final'!$AC$87="Baja",'Mapa final'!$AE$87="Mayor"),CONCATENATE("R4C",'Mapa final'!$S$87),"")</f>
        <v/>
      </c>
      <c r="AF39" s="57" t="str">
        <f ca="1">IF(AND('Mapa final'!$AC$88="Baja",'Mapa final'!$AE$88="Mayor"),CONCATENATE("R4C",'Mapa final'!$S$88),"")</f>
        <v/>
      </c>
      <c r="AG39" s="58" t="e">
        <f>IF(AND('Mapa final'!#REF!="Baja",'Mapa final'!#REF!="Mayor"),CONCATENATE("R4C",'Mapa final'!#REF!),"")</f>
        <v>#REF!</v>
      </c>
      <c r="AH39" s="59" t="str">
        <f ca="1">IF(AND('Mapa final'!$AC$81="Baja",'Mapa final'!$AE$81="Catastrófico"),CONCATENATE("R4C",'Mapa final'!$S$81),"")</f>
        <v/>
      </c>
      <c r="AI39" s="60" t="str">
        <f ca="1">IF(AND('Mapa final'!$AC$86="Baja",'Mapa final'!$AE$86="Catastrófico"),CONCATENATE("R4C",'Mapa final'!$S$86),"")</f>
        <v/>
      </c>
      <c r="AJ39" s="60" t="e">
        <f>IF(AND('Mapa final'!#REF!="Baja",'Mapa final'!#REF!="Catastrófico"),CONCATENATE("R4C",'Mapa final'!#REF!),"")</f>
        <v>#REF!</v>
      </c>
      <c r="AK39" s="60" t="str">
        <f ca="1">IF(AND('Mapa final'!$AC$87="Baja",'Mapa final'!$AE$87="Catastrófico"),CONCATENATE("R4C",'Mapa final'!$S$87),"")</f>
        <v/>
      </c>
      <c r="AL39" s="60" t="str">
        <f ca="1">IF(AND('Mapa final'!$AC$88="Baja",'Mapa final'!$AE$88="Catastrófico"),CONCATENATE("R4C",'Mapa final'!$S$88),"")</f>
        <v/>
      </c>
      <c r="AM39" s="61" t="e">
        <f>IF(AND('Mapa final'!#REF!="Baja",'Mapa final'!#REF!="Catastrófico"),CONCATENATE("R4C",'Mapa final'!#REF!),"")</f>
        <v>#REF!</v>
      </c>
      <c r="AN39" s="87"/>
      <c r="AO39" s="814"/>
      <c r="AP39" s="815"/>
      <c r="AQ39" s="815"/>
      <c r="AR39" s="815"/>
      <c r="AS39" s="815"/>
      <c r="AT39" s="816"/>
      <c r="AU39" s="87"/>
      <c r="AV39" s="87"/>
      <c r="AW39" s="87"/>
      <c r="AX39" s="87"/>
      <c r="AY39" s="87"/>
      <c r="AZ39" s="87"/>
      <c r="BA39" s="87"/>
      <c r="BB39" s="87"/>
      <c r="BC39" s="87"/>
      <c r="BD39" s="87"/>
      <c r="BE39" s="87"/>
      <c r="BF39" s="87"/>
      <c r="BG39" s="87"/>
      <c r="BH39" s="87"/>
      <c r="BI39" s="87"/>
      <c r="BJ39" s="87"/>
      <c r="BK39" s="87"/>
      <c r="BL39" s="87"/>
      <c r="BM39" s="87"/>
      <c r="BN39" s="87"/>
      <c r="BO39" s="87"/>
      <c r="BP39" s="87"/>
      <c r="BQ39" s="87"/>
      <c r="BR39" s="87"/>
      <c r="BS39" s="87"/>
      <c r="BT39" s="87"/>
      <c r="BU39" s="87"/>
      <c r="BV39" s="87"/>
      <c r="BW39" s="87"/>
      <c r="BX39" s="87"/>
    </row>
    <row r="40" spans="1:80" ht="15" customHeight="1" x14ac:dyDescent="0.25">
      <c r="A40" s="87"/>
      <c r="B40" s="695"/>
      <c r="C40" s="695"/>
      <c r="D40" s="696"/>
      <c r="E40" s="794"/>
      <c r="F40" s="793"/>
      <c r="G40" s="793"/>
      <c r="H40" s="793"/>
      <c r="I40" s="793"/>
      <c r="J40" s="80" t="str">
        <f ca="1">IF(AND('Mapa final'!$AC$89="Baja",'Mapa final'!$AE$89="Leve"),CONCATENATE("R5C",'Mapa final'!$S$89),"")</f>
        <v/>
      </c>
      <c r="K40" s="81" t="str">
        <f ca="1">IF(AND('Mapa final'!$AC$91="Baja",'Mapa final'!$AE$91="Leve"),CONCATENATE("R5C",'Mapa final'!$S$91),"")</f>
        <v/>
      </c>
      <c r="L40" s="81" t="str">
        <f ca="1">IF(AND('Mapa final'!$AC$92="Baja",'Mapa final'!$AE$92="Leve"),CONCATENATE("R5C",'Mapa final'!$S$92),"")</f>
        <v/>
      </c>
      <c r="M40" s="81" t="str">
        <f ca="1">IF(AND('Mapa final'!$AC$95="Baja",'Mapa final'!$AE$95="Leve"),CONCATENATE("R5C",'Mapa final'!$S$95),"")</f>
        <v/>
      </c>
      <c r="N40" s="81" t="e">
        <f>IF(AND('Mapa final'!#REF!="Baja",'Mapa final'!#REF!="Leve"),CONCATENATE("R5C",'Mapa final'!#REF!),"")</f>
        <v>#REF!</v>
      </c>
      <c r="O40" s="82" t="e">
        <f>IF(AND('Mapa final'!#REF!="Baja",'Mapa final'!#REF!="Leve"),CONCATENATE("R5C",'Mapa final'!#REF!),"")</f>
        <v>#REF!</v>
      </c>
      <c r="P40" s="71" t="str">
        <f ca="1">IF(AND('Mapa final'!$AC$89="Baja",'Mapa final'!$AE$89="Menor"),CONCATENATE("R5C",'Mapa final'!$S$89),"")</f>
        <v/>
      </c>
      <c r="Q40" s="72" t="str">
        <f ca="1">IF(AND('Mapa final'!$AC$91="Baja",'Mapa final'!$AE$91="Menor"),CONCATENATE("R5C",'Mapa final'!$S$91),"")</f>
        <v/>
      </c>
      <c r="R40" s="72" t="str">
        <f ca="1">IF(AND('Mapa final'!$AC$92="Baja",'Mapa final'!$AE$92="Menor"),CONCATENATE("R5C",'Mapa final'!$S$92),"")</f>
        <v/>
      </c>
      <c r="S40" s="72" t="str">
        <f ca="1">IF(AND('Mapa final'!$AC$95="Baja",'Mapa final'!$AE$95="Menor"),CONCATENATE("R5C",'Mapa final'!$S$95),"")</f>
        <v/>
      </c>
      <c r="T40" s="72" t="e">
        <f>IF(AND('Mapa final'!#REF!="Baja",'Mapa final'!#REF!="Menor"),CONCATENATE("R5C",'Mapa final'!#REF!),"")</f>
        <v>#REF!</v>
      </c>
      <c r="U40" s="73" t="e">
        <f>IF(AND('Mapa final'!#REF!="Baja",'Mapa final'!#REF!="Menor"),CONCATENATE("R5C",'Mapa final'!#REF!),"")</f>
        <v>#REF!</v>
      </c>
      <c r="V40" s="71" t="str">
        <f ca="1">IF(AND('Mapa final'!$AC$89="Baja",'Mapa final'!$AE$89="Moderado"),CONCATENATE("R5C",'Mapa final'!$S$89),"")</f>
        <v/>
      </c>
      <c r="W40" s="72" t="str">
        <f ca="1">IF(AND('Mapa final'!$AC$91="Baja",'Mapa final'!$AE$91="Moderado"),CONCATENATE("R5C",'Mapa final'!$S$91),"")</f>
        <v/>
      </c>
      <c r="X40" s="72" t="str">
        <f ca="1">IF(AND('Mapa final'!$AC$92="Baja",'Mapa final'!$AE$92="Moderado"),CONCATENATE("R5C",'Mapa final'!$S$92),"")</f>
        <v>R5C1</v>
      </c>
      <c r="Y40" s="72" t="str">
        <f ca="1">IF(AND('Mapa final'!$AC$95="Baja",'Mapa final'!$AE$95="Moderado"),CONCATENATE("R5C",'Mapa final'!$S$95),"")</f>
        <v/>
      </c>
      <c r="Z40" s="72" t="e">
        <f>IF(AND('Mapa final'!#REF!="Baja",'Mapa final'!#REF!="Moderado"),CONCATENATE("R5C",'Mapa final'!#REF!),"")</f>
        <v>#REF!</v>
      </c>
      <c r="AA40" s="73" t="e">
        <f>IF(AND('Mapa final'!#REF!="Baja",'Mapa final'!#REF!="Moderado"),CONCATENATE("R5C",'Mapa final'!#REF!),"")</f>
        <v>#REF!</v>
      </c>
      <c r="AB40" s="56" t="str">
        <f ca="1">IF(AND('Mapa final'!$AC$89="Baja",'Mapa final'!$AE$89="Mayor"),CONCATENATE("R5C",'Mapa final'!$S$89),"")</f>
        <v/>
      </c>
      <c r="AC40" s="57" t="str">
        <f ca="1">IF(AND('Mapa final'!$AC$91="Baja",'Mapa final'!$AE$91="Mayor"),CONCATENATE("R5C",'Mapa final'!$S$91),"")</f>
        <v/>
      </c>
      <c r="AD40" s="57" t="str">
        <f ca="1">IF(AND('Mapa final'!$AC$92="Baja",'Mapa final'!$AE$92="Mayor"),CONCATENATE("R5C",'Mapa final'!$S$92),"")</f>
        <v/>
      </c>
      <c r="AE40" s="57" t="str">
        <f ca="1">IF(AND('Mapa final'!$AC$95="Baja",'Mapa final'!$AE$95="Mayor"),CONCATENATE("R5C",'Mapa final'!$S$95),"")</f>
        <v/>
      </c>
      <c r="AF40" s="57" t="e">
        <f>IF(AND('Mapa final'!#REF!="Baja",'Mapa final'!#REF!="Mayor"),CONCATENATE("R5C",'Mapa final'!#REF!),"")</f>
        <v>#REF!</v>
      </c>
      <c r="AG40" s="58" t="e">
        <f>IF(AND('Mapa final'!#REF!="Baja",'Mapa final'!#REF!="Mayor"),CONCATENATE("R5C",'Mapa final'!#REF!),"")</f>
        <v>#REF!</v>
      </c>
      <c r="AH40" s="59" t="str">
        <f ca="1">IF(AND('Mapa final'!$AC$89="Baja",'Mapa final'!$AE$89="Catastrófico"),CONCATENATE("R5C",'Mapa final'!$S$89),"")</f>
        <v/>
      </c>
      <c r="AI40" s="60" t="str">
        <f ca="1">IF(AND('Mapa final'!$AC$91="Baja",'Mapa final'!$AE$91="Catastrófico"),CONCATENATE("R5C",'Mapa final'!$S$91),"")</f>
        <v/>
      </c>
      <c r="AJ40" s="60" t="str">
        <f ca="1">IF(AND('Mapa final'!$AC$92="Baja",'Mapa final'!$AE$92="Catastrófico"),CONCATENATE("R5C",'Mapa final'!$S$92),"")</f>
        <v/>
      </c>
      <c r="AK40" s="60" t="str">
        <f ca="1">IF(AND('Mapa final'!$AC$95="Baja",'Mapa final'!$AE$95="Catastrófico"),CONCATENATE("R5C",'Mapa final'!$S$95),"")</f>
        <v/>
      </c>
      <c r="AL40" s="60" t="e">
        <f>IF(AND('Mapa final'!#REF!="Baja",'Mapa final'!#REF!="Catastrófico"),CONCATENATE("R5C",'Mapa final'!#REF!),"")</f>
        <v>#REF!</v>
      </c>
      <c r="AM40" s="61" t="e">
        <f>IF(AND('Mapa final'!#REF!="Baja",'Mapa final'!#REF!="Catastrófico"),CONCATENATE("R5C",'Mapa final'!#REF!),"")</f>
        <v>#REF!</v>
      </c>
      <c r="AN40" s="87"/>
      <c r="AO40" s="814"/>
      <c r="AP40" s="815"/>
      <c r="AQ40" s="815"/>
      <c r="AR40" s="815"/>
      <c r="AS40" s="815"/>
      <c r="AT40" s="816"/>
      <c r="AU40" s="87"/>
      <c r="AV40" s="87"/>
      <c r="AW40" s="87"/>
      <c r="AX40" s="87"/>
      <c r="AY40" s="87"/>
      <c r="AZ40" s="87"/>
      <c r="BA40" s="87"/>
      <c r="BB40" s="87"/>
      <c r="BC40" s="87"/>
      <c r="BD40" s="87"/>
      <c r="BE40" s="87"/>
      <c r="BF40" s="87"/>
      <c r="BG40" s="87"/>
      <c r="BH40" s="87"/>
      <c r="BI40" s="87"/>
      <c r="BJ40" s="87"/>
      <c r="BK40" s="87"/>
      <c r="BL40" s="87"/>
      <c r="BM40" s="87"/>
      <c r="BN40" s="87"/>
      <c r="BO40" s="87"/>
      <c r="BP40" s="87"/>
      <c r="BQ40" s="87"/>
      <c r="BR40" s="87"/>
      <c r="BS40" s="87"/>
      <c r="BT40" s="87"/>
      <c r="BU40" s="87"/>
      <c r="BV40" s="87"/>
      <c r="BW40" s="87"/>
      <c r="BX40" s="87"/>
    </row>
    <row r="41" spans="1:80" ht="15" customHeight="1" x14ac:dyDescent="0.25">
      <c r="A41" s="87"/>
      <c r="B41" s="695"/>
      <c r="C41" s="695"/>
      <c r="D41" s="696"/>
      <c r="E41" s="794"/>
      <c r="F41" s="793"/>
      <c r="G41" s="793"/>
      <c r="H41" s="793"/>
      <c r="I41" s="793"/>
      <c r="J41" s="80" t="e">
        <f>IF(AND('Mapa final'!#REF!="Baja",'Mapa final'!#REF!="Leve"),CONCATENATE("R6C",'Mapa final'!#REF!),"")</f>
        <v>#REF!</v>
      </c>
      <c r="K41" s="81" t="e">
        <f>IF(AND('Mapa final'!#REF!="Baja",'Mapa final'!#REF!="Leve"),CONCATENATE("R6C",'Mapa final'!#REF!),"")</f>
        <v>#REF!</v>
      </c>
      <c r="L41" s="81" t="e">
        <f>IF(AND('Mapa final'!#REF!="Baja",'Mapa final'!#REF!="Leve"),CONCATENATE("R6C",'Mapa final'!#REF!),"")</f>
        <v>#REF!</v>
      </c>
      <c r="M41" s="81" t="e">
        <f>IF(AND('Mapa final'!#REF!="Baja",'Mapa final'!#REF!="Leve"),CONCATENATE("R6C",'Mapa final'!#REF!),"")</f>
        <v>#REF!</v>
      </c>
      <c r="N41" s="81" t="e">
        <f>IF(AND('Mapa final'!#REF!="Baja",'Mapa final'!#REF!="Leve"),CONCATENATE("R6C",'Mapa final'!#REF!),"")</f>
        <v>#REF!</v>
      </c>
      <c r="O41" s="82" t="e">
        <f>IF(AND('Mapa final'!#REF!="Baja",'Mapa final'!#REF!="Leve"),CONCATENATE("R6C",'Mapa final'!#REF!),"")</f>
        <v>#REF!</v>
      </c>
      <c r="P41" s="71" t="e">
        <f>IF(AND('Mapa final'!#REF!="Baja",'Mapa final'!#REF!="Menor"),CONCATENATE("R6C",'Mapa final'!#REF!),"")</f>
        <v>#REF!</v>
      </c>
      <c r="Q41" s="72" t="e">
        <f>IF(AND('Mapa final'!#REF!="Baja",'Mapa final'!#REF!="Menor"),CONCATENATE("R6C",'Mapa final'!#REF!),"")</f>
        <v>#REF!</v>
      </c>
      <c r="R41" s="72" t="e">
        <f>IF(AND('Mapa final'!#REF!="Baja",'Mapa final'!#REF!="Menor"),CONCATENATE("R6C",'Mapa final'!#REF!),"")</f>
        <v>#REF!</v>
      </c>
      <c r="S41" s="72" t="e">
        <f>IF(AND('Mapa final'!#REF!="Baja",'Mapa final'!#REF!="Menor"),CONCATENATE("R6C",'Mapa final'!#REF!),"")</f>
        <v>#REF!</v>
      </c>
      <c r="T41" s="72" t="e">
        <f>IF(AND('Mapa final'!#REF!="Baja",'Mapa final'!#REF!="Menor"),CONCATENATE("R6C",'Mapa final'!#REF!),"")</f>
        <v>#REF!</v>
      </c>
      <c r="U41" s="73" t="e">
        <f>IF(AND('Mapa final'!#REF!="Baja",'Mapa final'!#REF!="Menor"),CONCATENATE("R6C",'Mapa final'!#REF!),"")</f>
        <v>#REF!</v>
      </c>
      <c r="V41" s="71" t="e">
        <f>IF(AND('Mapa final'!#REF!="Baja",'Mapa final'!#REF!="Moderado"),CONCATENATE("R6C",'Mapa final'!#REF!),"")</f>
        <v>#REF!</v>
      </c>
      <c r="W41" s="72" t="e">
        <f>IF(AND('Mapa final'!#REF!="Baja",'Mapa final'!#REF!="Moderado"),CONCATENATE("R6C",'Mapa final'!#REF!),"")</f>
        <v>#REF!</v>
      </c>
      <c r="X41" s="72" t="e">
        <f>IF(AND('Mapa final'!#REF!="Baja",'Mapa final'!#REF!="Moderado"),CONCATENATE("R6C",'Mapa final'!#REF!),"")</f>
        <v>#REF!</v>
      </c>
      <c r="Y41" s="72" t="e">
        <f>IF(AND('Mapa final'!#REF!="Baja",'Mapa final'!#REF!="Moderado"),CONCATENATE("R6C",'Mapa final'!#REF!),"")</f>
        <v>#REF!</v>
      </c>
      <c r="Z41" s="72" t="e">
        <f>IF(AND('Mapa final'!#REF!="Baja",'Mapa final'!#REF!="Moderado"),CONCATENATE("R6C",'Mapa final'!#REF!),"")</f>
        <v>#REF!</v>
      </c>
      <c r="AA41" s="73" t="e">
        <f>IF(AND('Mapa final'!#REF!="Baja",'Mapa final'!#REF!="Moderado"),CONCATENATE("R6C",'Mapa final'!#REF!),"")</f>
        <v>#REF!</v>
      </c>
      <c r="AB41" s="56" t="e">
        <f>IF(AND('Mapa final'!#REF!="Baja",'Mapa final'!#REF!="Mayor"),CONCATENATE("R6C",'Mapa final'!#REF!),"")</f>
        <v>#REF!</v>
      </c>
      <c r="AC41" s="57" t="e">
        <f>IF(AND('Mapa final'!#REF!="Baja",'Mapa final'!#REF!="Mayor"),CONCATENATE("R6C",'Mapa final'!#REF!),"")</f>
        <v>#REF!</v>
      </c>
      <c r="AD41" s="57" t="e">
        <f>IF(AND('Mapa final'!#REF!="Baja",'Mapa final'!#REF!="Mayor"),CONCATENATE("R6C",'Mapa final'!#REF!),"")</f>
        <v>#REF!</v>
      </c>
      <c r="AE41" s="57" t="e">
        <f>IF(AND('Mapa final'!#REF!="Baja",'Mapa final'!#REF!="Mayor"),CONCATENATE("R6C",'Mapa final'!#REF!),"")</f>
        <v>#REF!</v>
      </c>
      <c r="AF41" s="57" t="e">
        <f>IF(AND('Mapa final'!#REF!="Baja",'Mapa final'!#REF!="Mayor"),CONCATENATE("R6C",'Mapa final'!#REF!),"")</f>
        <v>#REF!</v>
      </c>
      <c r="AG41" s="58" t="e">
        <f>IF(AND('Mapa final'!#REF!="Baja",'Mapa final'!#REF!="Mayor"),CONCATENATE("R6C",'Mapa final'!#REF!),"")</f>
        <v>#REF!</v>
      </c>
      <c r="AH41" s="59" t="e">
        <f>IF(AND('Mapa final'!#REF!="Baja",'Mapa final'!#REF!="Catastrófico"),CONCATENATE("R6C",'Mapa final'!#REF!),"")</f>
        <v>#REF!</v>
      </c>
      <c r="AI41" s="60" t="e">
        <f>IF(AND('Mapa final'!#REF!="Baja",'Mapa final'!#REF!="Catastrófico"),CONCATENATE("R6C",'Mapa final'!#REF!),"")</f>
        <v>#REF!</v>
      </c>
      <c r="AJ41" s="60" t="e">
        <f>IF(AND('Mapa final'!#REF!="Baja",'Mapa final'!#REF!="Catastrófico"),CONCATENATE("R6C",'Mapa final'!#REF!),"")</f>
        <v>#REF!</v>
      </c>
      <c r="AK41" s="60" t="e">
        <f>IF(AND('Mapa final'!#REF!="Baja",'Mapa final'!#REF!="Catastrófico"),CONCATENATE("R6C",'Mapa final'!#REF!),"")</f>
        <v>#REF!</v>
      </c>
      <c r="AL41" s="60" t="e">
        <f>IF(AND('Mapa final'!#REF!="Baja",'Mapa final'!#REF!="Catastrófico"),CONCATENATE("R6C",'Mapa final'!#REF!),"")</f>
        <v>#REF!</v>
      </c>
      <c r="AM41" s="61" t="e">
        <f>IF(AND('Mapa final'!#REF!="Baja",'Mapa final'!#REF!="Catastrófico"),CONCATENATE("R6C",'Mapa final'!#REF!),"")</f>
        <v>#REF!</v>
      </c>
      <c r="AN41" s="87"/>
      <c r="AO41" s="814"/>
      <c r="AP41" s="815"/>
      <c r="AQ41" s="815"/>
      <c r="AR41" s="815"/>
      <c r="AS41" s="815"/>
      <c r="AT41" s="816"/>
      <c r="AU41" s="87"/>
      <c r="AV41" s="87"/>
      <c r="AW41" s="87"/>
      <c r="AX41" s="87"/>
      <c r="AY41" s="87"/>
      <c r="AZ41" s="87"/>
      <c r="BA41" s="87"/>
      <c r="BB41" s="87"/>
      <c r="BC41" s="87"/>
      <c r="BD41" s="87"/>
      <c r="BE41" s="87"/>
      <c r="BF41" s="87"/>
      <c r="BG41" s="87"/>
      <c r="BH41" s="87"/>
      <c r="BI41" s="87"/>
      <c r="BJ41" s="87"/>
      <c r="BK41" s="87"/>
      <c r="BL41" s="87"/>
      <c r="BM41" s="87"/>
      <c r="BN41" s="87"/>
      <c r="BO41" s="87"/>
      <c r="BP41" s="87"/>
      <c r="BQ41" s="87"/>
      <c r="BR41" s="87"/>
      <c r="BS41" s="87"/>
      <c r="BT41" s="87"/>
      <c r="BU41" s="87"/>
      <c r="BV41" s="87"/>
      <c r="BW41" s="87"/>
      <c r="BX41" s="87"/>
    </row>
    <row r="42" spans="1:80" ht="15" customHeight="1" x14ac:dyDescent="0.25">
      <c r="A42" s="87"/>
      <c r="B42" s="695"/>
      <c r="C42" s="695"/>
      <c r="D42" s="696"/>
      <c r="E42" s="794"/>
      <c r="F42" s="793"/>
      <c r="G42" s="793"/>
      <c r="H42" s="793"/>
      <c r="I42" s="793"/>
      <c r="J42" s="80" t="e">
        <f>IF(AND('Mapa final'!#REF!="Baja",'Mapa final'!#REF!="Leve"),CONCATENATE("R7C",'Mapa final'!#REF!),"")</f>
        <v>#REF!</v>
      </c>
      <c r="K42" s="81" t="e">
        <f>IF(AND('Mapa final'!#REF!="Baja",'Mapa final'!#REF!="Leve"),CONCATENATE("R7C",'Mapa final'!#REF!),"")</f>
        <v>#REF!</v>
      </c>
      <c r="L42" s="81" t="e">
        <f>IF(AND('Mapa final'!#REF!="Baja",'Mapa final'!#REF!="Leve"),CONCATENATE("R7C",'Mapa final'!#REF!),"")</f>
        <v>#REF!</v>
      </c>
      <c r="M42" s="81" t="e">
        <f>IF(AND('Mapa final'!#REF!="Baja",'Mapa final'!#REF!="Leve"),CONCATENATE("R7C",'Mapa final'!#REF!),"")</f>
        <v>#REF!</v>
      </c>
      <c r="N42" s="81" t="e">
        <f>IF(AND('Mapa final'!#REF!="Baja",'Mapa final'!#REF!="Leve"),CONCATENATE("R7C",'Mapa final'!#REF!),"")</f>
        <v>#REF!</v>
      </c>
      <c r="O42" s="82" t="e">
        <f>IF(AND('Mapa final'!#REF!="Baja",'Mapa final'!#REF!="Leve"),CONCATENATE("R7C",'Mapa final'!#REF!),"")</f>
        <v>#REF!</v>
      </c>
      <c r="P42" s="71" t="e">
        <f>IF(AND('Mapa final'!#REF!="Baja",'Mapa final'!#REF!="Menor"),CONCATENATE("R7C",'Mapa final'!#REF!),"")</f>
        <v>#REF!</v>
      </c>
      <c r="Q42" s="72" t="e">
        <f>IF(AND('Mapa final'!#REF!="Baja",'Mapa final'!#REF!="Menor"),CONCATENATE("R7C",'Mapa final'!#REF!),"")</f>
        <v>#REF!</v>
      </c>
      <c r="R42" s="72" t="e">
        <f>IF(AND('Mapa final'!#REF!="Baja",'Mapa final'!#REF!="Menor"),CONCATENATE("R7C",'Mapa final'!#REF!),"")</f>
        <v>#REF!</v>
      </c>
      <c r="S42" s="72" t="e">
        <f>IF(AND('Mapa final'!#REF!="Baja",'Mapa final'!#REF!="Menor"),CONCATENATE("R7C",'Mapa final'!#REF!),"")</f>
        <v>#REF!</v>
      </c>
      <c r="T42" s="72" t="e">
        <f>IF(AND('Mapa final'!#REF!="Baja",'Mapa final'!#REF!="Menor"),CONCATENATE("R7C",'Mapa final'!#REF!),"")</f>
        <v>#REF!</v>
      </c>
      <c r="U42" s="73" t="e">
        <f>IF(AND('Mapa final'!#REF!="Baja",'Mapa final'!#REF!="Menor"),CONCATENATE("R7C",'Mapa final'!#REF!),"")</f>
        <v>#REF!</v>
      </c>
      <c r="V42" s="71" t="e">
        <f>IF(AND('Mapa final'!#REF!="Baja",'Mapa final'!#REF!="Moderado"),CONCATENATE("R7C",'Mapa final'!#REF!),"")</f>
        <v>#REF!</v>
      </c>
      <c r="W42" s="72" t="e">
        <f>IF(AND('Mapa final'!#REF!="Baja",'Mapa final'!#REF!="Moderado"),CONCATENATE("R7C",'Mapa final'!#REF!),"")</f>
        <v>#REF!</v>
      </c>
      <c r="X42" s="72" t="e">
        <f>IF(AND('Mapa final'!#REF!="Baja",'Mapa final'!#REF!="Moderado"),CONCATENATE("R7C",'Mapa final'!#REF!),"")</f>
        <v>#REF!</v>
      </c>
      <c r="Y42" s="72" t="e">
        <f>IF(AND('Mapa final'!#REF!="Baja",'Mapa final'!#REF!="Moderado"),CONCATENATE("R7C",'Mapa final'!#REF!),"")</f>
        <v>#REF!</v>
      </c>
      <c r="Z42" s="72" t="e">
        <f>IF(AND('Mapa final'!#REF!="Baja",'Mapa final'!#REF!="Moderado"),CONCATENATE("R7C",'Mapa final'!#REF!),"")</f>
        <v>#REF!</v>
      </c>
      <c r="AA42" s="73" t="e">
        <f>IF(AND('Mapa final'!#REF!="Baja",'Mapa final'!#REF!="Moderado"),CONCATENATE("R7C",'Mapa final'!#REF!),"")</f>
        <v>#REF!</v>
      </c>
      <c r="AB42" s="56" t="e">
        <f>IF(AND('Mapa final'!#REF!="Baja",'Mapa final'!#REF!="Mayor"),CONCATENATE("R7C",'Mapa final'!#REF!),"")</f>
        <v>#REF!</v>
      </c>
      <c r="AC42" s="57" t="e">
        <f>IF(AND('Mapa final'!#REF!="Baja",'Mapa final'!#REF!="Mayor"),CONCATENATE("R7C",'Mapa final'!#REF!),"")</f>
        <v>#REF!</v>
      </c>
      <c r="AD42" s="57" t="e">
        <f>IF(AND('Mapa final'!#REF!="Baja",'Mapa final'!#REF!="Mayor"),CONCATENATE("R7C",'Mapa final'!#REF!),"")</f>
        <v>#REF!</v>
      </c>
      <c r="AE42" s="57" t="e">
        <f>IF(AND('Mapa final'!#REF!="Baja",'Mapa final'!#REF!="Mayor"),CONCATENATE("R7C",'Mapa final'!#REF!),"")</f>
        <v>#REF!</v>
      </c>
      <c r="AF42" s="57" t="e">
        <f>IF(AND('Mapa final'!#REF!="Baja",'Mapa final'!#REF!="Mayor"),CONCATENATE("R7C",'Mapa final'!#REF!),"")</f>
        <v>#REF!</v>
      </c>
      <c r="AG42" s="58" t="e">
        <f>IF(AND('Mapa final'!#REF!="Baja",'Mapa final'!#REF!="Mayor"),CONCATENATE("R7C",'Mapa final'!#REF!),"")</f>
        <v>#REF!</v>
      </c>
      <c r="AH42" s="59" t="e">
        <f>IF(AND('Mapa final'!#REF!="Baja",'Mapa final'!#REF!="Catastrófico"),CONCATENATE("R7C",'Mapa final'!#REF!),"")</f>
        <v>#REF!</v>
      </c>
      <c r="AI42" s="60" t="e">
        <f>IF(AND('Mapa final'!#REF!="Baja",'Mapa final'!#REF!="Catastrófico"),CONCATENATE("R7C",'Mapa final'!#REF!),"")</f>
        <v>#REF!</v>
      </c>
      <c r="AJ42" s="60" t="e">
        <f>IF(AND('Mapa final'!#REF!="Baja",'Mapa final'!#REF!="Catastrófico"),CONCATENATE("R7C",'Mapa final'!#REF!),"")</f>
        <v>#REF!</v>
      </c>
      <c r="AK42" s="60" t="e">
        <f>IF(AND('Mapa final'!#REF!="Baja",'Mapa final'!#REF!="Catastrófico"),CONCATENATE("R7C",'Mapa final'!#REF!),"")</f>
        <v>#REF!</v>
      </c>
      <c r="AL42" s="60" t="e">
        <f>IF(AND('Mapa final'!#REF!="Baja",'Mapa final'!#REF!="Catastrófico"),CONCATENATE("R7C",'Mapa final'!#REF!),"")</f>
        <v>#REF!</v>
      </c>
      <c r="AM42" s="61" t="e">
        <f>IF(AND('Mapa final'!#REF!="Baja",'Mapa final'!#REF!="Catastrófico"),CONCATENATE("R7C",'Mapa final'!#REF!),"")</f>
        <v>#REF!</v>
      </c>
      <c r="AN42" s="87"/>
      <c r="AO42" s="814"/>
      <c r="AP42" s="815"/>
      <c r="AQ42" s="815"/>
      <c r="AR42" s="815"/>
      <c r="AS42" s="815"/>
      <c r="AT42" s="816"/>
      <c r="AU42" s="87"/>
      <c r="AV42" s="87"/>
      <c r="AW42" s="87"/>
      <c r="AX42" s="87"/>
      <c r="AY42" s="87"/>
      <c r="AZ42" s="87"/>
      <c r="BA42" s="87"/>
      <c r="BB42" s="87"/>
      <c r="BC42" s="87"/>
      <c r="BD42" s="87"/>
      <c r="BE42" s="87"/>
      <c r="BF42" s="87"/>
      <c r="BG42" s="87"/>
      <c r="BH42" s="87"/>
      <c r="BI42" s="87"/>
      <c r="BJ42" s="87"/>
      <c r="BK42" s="87"/>
      <c r="BL42" s="87"/>
      <c r="BM42" s="87"/>
      <c r="BN42" s="87"/>
      <c r="BO42" s="87"/>
      <c r="BP42" s="87"/>
      <c r="BQ42" s="87"/>
      <c r="BR42" s="87"/>
      <c r="BS42" s="87"/>
      <c r="BT42" s="87"/>
      <c r="BU42" s="87"/>
      <c r="BV42" s="87"/>
      <c r="BW42" s="87"/>
      <c r="BX42" s="87"/>
    </row>
    <row r="43" spans="1:80" ht="15" customHeight="1" x14ac:dyDescent="0.25">
      <c r="A43" s="87"/>
      <c r="B43" s="695"/>
      <c r="C43" s="695"/>
      <c r="D43" s="696"/>
      <c r="E43" s="794"/>
      <c r="F43" s="793"/>
      <c r="G43" s="793"/>
      <c r="H43" s="793"/>
      <c r="I43" s="793"/>
      <c r="J43" s="80" t="e">
        <f>IF(AND('Mapa final'!#REF!="Baja",'Mapa final'!#REF!="Leve"),CONCATENATE("R8C",'Mapa final'!#REF!),"")</f>
        <v>#REF!</v>
      </c>
      <c r="K43" s="81" t="e">
        <f>IF(AND('Mapa final'!#REF!="Baja",'Mapa final'!#REF!="Leve"),CONCATENATE("R8C",'Mapa final'!#REF!),"")</f>
        <v>#REF!</v>
      </c>
      <c r="L43" s="81" t="e">
        <f>IF(AND('Mapa final'!#REF!="Baja",'Mapa final'!#REF!="Leve"),CONCATENATE("R8C",'Mapa final'!#REF!),"")</f>
        <v>#REF!</v>
      </c>
      <c r="M43" s="81" t="e">
        <f>IF(AND('Mapa final'!#REF!="Baja",'Mapa final'!#REF!="Leve"),CONCATENATE("R8C",'Mapa final'!#REF!),"")</f>
        <v>#REF!</v>
      </c>
      <c r="N43" s="81" t="e">
        <f>IF(AND('Mapa final'!#REF!="Baja",'Mapa final'!#REF!="Leve"),CONCATENATE("R8C",'Mapa final'!#REF!),"")</f>
        <v>#REF!</v>
      </c>
      <c r="O43" s="82" t="e">
        <f>IF(AND('Mapa final'!#REF!="Baja",'Mapa final'!#REF!="Leve"),CONCATENATE("R8C",'Mapa final'!#REF!),"")</f>
        <v>#REF!</v>
      </c>
      <c r="P43" s="71" t="e">
        <f>IF(AND('Mapa final'!#REF!="Baja",'Mapa final'!#REF!="Menor"),CONCATENATE("R8C",'Mapa final'!#REF!),"")</f>
        <v>#REF!</v>
      </c>
      <c r="Q43" s="72" t="e">
        <f>IF(AND('Mapa final'!#REF!="Baja",'Mapa final'!#REF!="Menor"),CONCATENATE("R8C",'Mapa final'!#REF!),"")</f>
        <v>#REF!</v>
      </c>
      <c r="R43" s="72" t="e">
        <f>IF(AND('Mapa final'!#REF!="Baja",'Mapa final'!#REF!="Menor"),CONCATENATE("R8C",'Mapa final'!#REF!),"")</f>
        <v>#REF!</v>
      </c>
      <c r="S43" s="72" t="e">
        <f>IF(AND('Mapa final'!#REF!="Baja",'Mapa final'!#REF!="Menor"),CONCATENATE("R8C",'Mapa final'!#REF!),"")</f>
        <v>#REF!</v>
      </c>
      <c r="T43" s="72" t="e">
        <f>IF(AND('Mapa final'!#REF!="Baja",'Mapa final'!#REF!="Menor"),CONCATENATE("R8C",'Mapa final'!#REF!),"")</f>
        <v>#REF!</v>
      </c>
      <c r="U43" s="73" t="e">
        <f>IF(AND('Mapa final'!#REF!="Baja",'Mapa final'!#REF!="Menor"),CONCATENATE("R8C",'Mapa final'!#REF!),"")</f>
        <v>#REF!</v>
      </c>
      <c r="V43" s="71" t="e">
        <f>IF(AND('Mapa final'!#REF!="Baja",'Mapa final'!#REF!="Moderado"),CONCATENATE("R8C",'Mapa final'!#REF!),"")</f>
        <v>#REF!</v>
      </c>
      <c r="W43" s="72" t="e">
        <f>IF(AND('Mapa final'!#REF!="Baja",'Mapa final'!#REF!="Moderado"),CONCATENATE("R8C",'Mapa final'!#REF!),"")</f>
        <v>#REF!</v>
      </c>
      <c r="X43" s="72" t="e">
        <f>IF(AND('Mapa final'!#REF!="Baja",'Mapa final'!#REF!="Moderado"),CONCATENATE("R8C",'Mapa final'!#REF!),"")</f>
        <v>#REF!</v>
      </c>
      <c r="Y43" s="72" t="e">
        <f>IF(AND('Mapa final'!#REF!="Baja",'Mapa final'!#REF!="Moderado"),CONCATENATE("R8C",'Mapa final'!#REF!),"")</f>
        <v>#REF!</v>
      </c>
      <c r="Z43" s="72" t="e">
        <f>IF(AND('Mapa final'!#REF!="Baja",'Mapa final'!#REF!="Moderado"),CONCATENATE("R8C",'Mapa final'!#REF!),"")</f>
        <v>#REF!</v>
      </c>
      <c r="AA43" s="73" t="e">
        <f>IF(AND('Mapa final'!#REF!="Baja",'Mapa final'!#REF!="Moderado"),CONCATENATE("R8C",'Mapa final'!#REF!),"")</f>
        <v>#REF!</v>
      </c>
      <c r="AB43" s="56" t="e">
        <f>IF(AND('Mapa final'!#REF!="Baja",'Mapa final'!#REF!="Mayor"),CONCATENATE("R8C",'Mapa final'!#REF!),"")</f>
        <v>#REF!</v>
      </c>
      <c r="AC43" s="57" t="e">
        <f>IF(AND('Mapa final'!#REF!="Baja",'Mapa final'!#REF!="Mayor"),CONCATENATE("R8C",'Mapa final'!#REF!),"")</f>
        <v>#REF!</v>
      </c>
      <c r="AD43" s="57" t="e">
        <f>IF(AND('Mapa final'!#REF!="Baja",'Mapa final'!#REF!="Mayor"),CONCATENATE("R8C",'Mapa final'!#REF!),"")</f>
        <v>#REF!</v>
      </c>
      <c r="AE43" s="57" t="e">
        <f>IF(AND('Mapa final'!#REF!="Baja",'Mapa final'!#REF!="Mayor"),CONCATENATE("R8C",'Mapa final'!#REF!),"")</f>
        <v>#REF!</v>
      </c>
      <c r="AF43" s="57" t="e">
        <f>IF(AND('Mapa final'!#REF!="Baja",'Mapa final'!#REF!="Mayor"),CONCATENATE("R8C",'Mapa final'!#REF!),"")</f>
        <v>#REF!</v>
      </c>
      <c r="AG43" s="58" t="e">
        <f>IF(AND('Mapa final'!#REF!="Baja",'Mapa final'!#REF!="Mayor"),CONCATENATE("R8C",'Mapa final'!#REF!),"")</f>
        <v>#REF!</v>
      </c>
      <c r="AH43" s="59" t="e">
        <f>IF(AND('Mapa final'!#REF!="Baja",'Mapa final'!#REF!="Catastrófico"),CONCATENATE("R8C",'Mapa final'!#REF!),"")</f>
        <v>#REF!</v>
      </c>
      <c r="AI43" s="60" t="e">
        <f>IF(AND('Mapa final'!#REF!="Baja",'Mapa final'!#REF!="Catastrófico"),CONCATENATE("R8C",'Mapa final'!#REF!),"")</f>
        <v>#REF!</v>
      </c>
      <c r="AJ43" s="60" t="e">
        <f>IF(AND('Mapa final'!#REF!="Baja",'Mapa final'!#REF!="Catastrófico"),CONCATENATE("R8C",'Mapa final'!#REF!),"")</f>
        <v>#REF!</v>
      </c>
      <c r="AK43" s="60" t="e">
        <f>IF(AND('Mapa final'!#REF!="Baja",'Mapa final'!#REF!="Catastrófico"),CONCATENATE("R8C",'Mapa final'!#REF!),"")</f>
        <v>#REF!</v>
      </c>
      <c r="AL43" s="60" t="e">
        <f>IF(AND('Mapa final'!#REF!="Baja",'Mapa final'!#REF!="Catastrófico"),CONCATENATE("R8C",'Mapa final'!#REF!),"")</f>
        <v>#REF!</v>
      </c>
      <c r="AM43" s="61" t="e">
        <f>IF(AND('Mapa final'!#REF!="Baja",'Mapa final'!#REF!="Catastrófico"),CONCATENATE("R8C",'Mapa final'!#REF!),"")</f>
        <v>#REF!</v>
      </c>
      <c r="AN43" s="87"/>
      <c r="AO43" s="814"/>
      <c r="AP43" s="815"/>
      <c r="AQ43" s="815"/>
      <c r="AR43" s="815"/>
      <c r="AS43" s="815"/>
      <c r="AT43" s="816"/>
      <c r="AU43" s="87"/>
      <c r="AV43" s="87"/>
      <c r="AW43" s="87"/>
      <c r="AX43" s="87"/>
      <c r="AY43" s="87"/>
      <c r="AZ43" s="87"/>
      <c r="BA43" s="87"/>
      <c r="BB43" s="87"/>
      <c r="BC43" s="87"/>
      <c r="BD43" s="87"/>
      <c r="BE43" s="87"/>
      <c r="BF43" s="87"/>
      <c r="BG43" s="87"/>
      <c r="BH43" s="87"/>
      <c r="BI43" s="87"/>
      <c r="BJ43" s="87"/>
      <c r="BK43" s="87"/>
      <c r="BL43" s="87"/>
      <c r="BM43" s="87"/>
      <c r="BN43" s="87"/>
      <c r="BO43" s="87"/>
      <c r="BP43" s="87"/>
      <c r="BQ43" s="87"/>
      <c r="BR43" s="87"/>
      <c r="BS43" s="87"/>
      <c r="BT43" s="87"/>
      <c r="BU43" s="87"/>
      <c r="BV43" s="87"/>
      <c r="BW43" s="87"/>
      <c r="BX43" s="87"/>
    </row>
    <row r="44" spans="1:80" ht="15" customHeight="1" x14ac:dyDescent="0.25">
      <c r="A44" s="87"/>
      <c r="B44" s="695"/>
      <c r="C44" s="695"/>
      <c r="D44" s="696"/>
      <c r="E44" s="794"/>
      <c r="F44" s="793"/>
      <c r="G44" s="793"/>
      <c r="H44" s="793"/>
      <c r="I44" s="793"/>
      <c r="J44" s="80" t="e">
        <f>IF(AND('Mapa final'!#REF!="Baja",'Mapa final'!#REF!="Leve"),CONCATENATE("R9C",'Mapa final'!#REF!),"")</f>
        <v>#REF!</v>
      </c>
      <c r="K44" s="81" t="e">
        <f>IF(AND('Mapa final'!#REF!="Baja",'Mapa final'!#REF!="Leve"),CONCATENATE("R9C",'Mapa final'!#REF!),"")</f>
        <v>#REF!</v>
      </c>
      <c r="L44" s="81" t="e">
        <f>IF(AND('Mapa final'!#REF!="Baja",'Mapa final'!#REF!="Leve"),CONCATENATE("R9C",'Mapa final'!#REF!),"")</f>
        <v>#REF!</v>
      </c>
      <c r="M44" s="81" t="e">
        <f>IF(AND('Mapa final'!#REF!="Baja",'Mapa final'!#REF!="Leve"),CONCATENATE("R9C",'Mapa final'!#REF!),"")</f>
        <v>#REF!</v>
      </c>
      <c r="N44" s="81" t="e">
        <f>IF(AND('Mapa final'!#REF!="Baja",'Mapa final'!#REF!="Leve"),CONCATENATE("R9C",'Mapa final'!#REF!),"")</f>
        <v>#REF!</v>
      </c>
      <c r="O44" s="82" t="e">
        <f>IF(AND('Mapa final'!#REF!="Baja",'Mapa final'!#REF!="Leve"),CONCATENATE("R9C",'Mapa final'!#REF!),"")</f>
        <v>#REF!</v>
      </c>
      <c r="P44" s="71" t="e">
        <f>IF(AND('Mapa final'!#REF!="Baja",'Mapa final'!#REF!="Menor"),CONCATENATE("R9C",'Mapa final'!#REF!),"")</f>
        <v>#REF!</v>
      </c>
      <c r="Q44" s="72" t="e">
        <f>IF(AND('Mapa final'!#REF!="Baja",'Mapa final'!#REF!="Menor"),CONCATENATE("R9C",'Mapa final'!#REF!),"")</f>
        <v>#REF!</v>
      </c>
      <c r="R44" s="72" t="e">
        <f>IF(AND('Mapa final'!#REF!="Baja",'Mapa final'!#REF!="Menor"),CONCATENATE("R9C",'Mapa final'!#REF!),"")</f>
        <v>#REF!</v>
      </c>
      <c r="S44" s="72" t="e">
        <f>IF(AND('Mapa final'!#REF!="Baja",'Mapa final'!#REF!="Menor"),CONCATENATE("R9C",'Mapa final'!#REF!),"")</f>
        <v>#REF!</v>
      </c>
      <c r="T44" s="72" t="e">
        <f>IF(AND('Mapa final'!#REF!="Baja",'Mapa final'!#REF!="Menor"),CONCATENATE("R9C",'Mapa final'!#REF!),"")</f>
        <v>#REF!</v>
      </c>
      <c r="U44" s="73" t="e">
        <f>IF(AND('Mapa final'!#REF!="Baja",'Mapa final'!#REF!="Menor"),CONCATENATE("R9C",'Mapa final'!#REF!),"")</f>
        <v>#REF!</v>
      </c>
      <c r="V44" s="71" t="e">
        <f>IF(AND('Mapa final'!#REF!="Baja",'Mapa final'!#REF!="Moderado"),CONCATENATE("R9C",'Mapa final'!#REF!),"")</f>
        <v>#REF!</v>
      </c>
      <c r="W44" s="72" t="e">
        <f>IF(AND('Mapa final'!#REF!="Baja",'Mapa final'!#REF!="Moderado"),CONCATENATE("R9C",'Mapa final'!#REF!),"")</f>
        <v>#REF!</v>
      </c>
      <c r="X44" s="72" t="e">
        <f>IF(AND('Mapa final'!#REF!="Baja",'Mapa final'!#REF!="Moderado"),CONCATENATE("R9C",'Mapa final'!#REF!),"")</f>
        <v>#REF!</v>
      </c>
      <c r="Y44" s="72" t="e">
        <f>IF(AND('Mapa final'!#REF!="Baja",'Mapa final'!#REF!="Moderado"),CONCATENATE("R9C",'Mapa final'!#REF!),"")</f>
        <v>#REF!</v>
      </c>
      <c r="Z44" s="72" t="e">
        <f>IF(AND('Mapa final'!#REF!="Baja",'Mapa final'!#REF!="Moderado"),CONCATENATE("R9C",'Mapa final'!#REF!),"")</f>
        <v>#REF!</v>
      </c>
      <c r="AA44" s="73" t="e">
        <f>IF(AND('Mapa final'!#REF!="Baja",'Mapa final'!#REF!="Moderado"),CONCATENATE("R9C",'Mapa final'!#REF!),"")</f>
        <v>#REF!</v>
      </c>
      <c r="AB44" s="56" t="e">
        <f>IF(AND('Mapa final'!#REF!="Baja",'Mapa final'!#REF!="Mayor"),CONCATENATE("R9C",'Mapa final'!#REF!),"")</f>
        <v>#REF!</v>
      </c>
      <c r="AC44" s="57" t="e">
        <f>IF(AND('Mapa final'!#REF!="Baja",'Mapa final'!#REF!="Mayor"),CONCATENATE("R9C",'Mapa final'!#REF!),"")</f>
        <v>#REF!</v>
      </c>
      <c r="AD44" s="57" t="e">
        <f>IF(AND('Mapa final'!#REF!="Baja",'Mapa final'!#REF!="Mayor"),CONCATENATE("R9C",'Mapa final'!#REF!),"")</f>
        <v>#REF!</v>
      </c>
      <c r="AE44" s="57" t="e">
        <f>IF(AND('Mapa final'!#REF!="Baja",'Mapa final'!#REF!="Mayor"),CONCATENATE("R9C",'Mapa final'!#REF!),"")</f>
        <v>#REF!</v>
      </c>
      <c r="AF44" s="57" t="e">
        <f>IF(AND('Mapa final'!#REF!="Baja",'Mapa final'!#REF!="Mayor"),CONCATENATE("R9C",'Mapa final'!#REF!),"")</f>
        <v>#REF!</v>
      </c>
      <c r="AG44" s="58" t="e">
        <f>IF(AND('Mapa final'!#REF!="Baja",'Mapa final'!#REF!="Mayor"),CONCATENATE("R9C",'Mapa final'!#REF!),"")</f>
        <v>#REF!</v>
      </c>
      <c r="AH44" s="59" t="e">
        <f>IF(AND('Mapa final'!#REF!="Baja",'Mapa final'!#REF!="Catastrófico"),CONCATENATE("R9C",'Mapa final'!#REF!),"")</f>
        <v>#REF!</v>
      </c>
      <c r="AI44" s="60" t="e">
        <f>IF(AND('Mapa final'!#REF!="Baja",'Mapa final'!#REF!="Catastrófico"),CONCATENATE("R9C",'Mapa final'!#REF!),"")</f>
        <v>#REF!</v>
      </c>
      <c r="AJ44" s="60" t="e">
        <f>IF(AND('Mapa final'!#REF!="Baja",'Mapa final'!#REF!="Catastrófico"),CONCATENATE("R9C",'Mapa final'!#REF!),"")</f>
        <v>#REF!</v>
      </c>
      <c r="AK44" s="60" t="e">
        <f>IF(AND('Mapa final'!#REF!="Baja",'Mapa final'!#REF!="Catastrófico"),CONCATENATE("R9C",'Mapa final'!#REF!),"")</f>
        <v>#REF!</v>
      </c>
      <c r="AL44" s="60" t="e">
        <f>IF(AND('Mapa final'!#REF!="Baja",'Mapa final'!#REF!="Catastrófico"),CONCATENATE("R9C",'Mapa final'!#REF!),"")</f>
        <v>#REF!</v>
      </c>
      <c r="AM44" s="61" t="e">
        <f>IF(AND('Mapa final'!#REF!="Baja",'Mapa final'!#REF!="Catastrófico"),CONCATENATE("R9C",'Mapa final'!#REF!),"")</f>
        <v>#REF!</v>
      </c>
      <c r="AN44" s="87"/>
      <c r="AO44" s="814"/>
      <c r="AP44" s="815"/>
      <c r="AQ44" s="815"/>
      <c r="AR44" s="815"/>
      <c r="AS44" s="815"/>
      <c r="AT44" s="816"/>
      <c r="AU44" s="87"/>
      <c r="AV44" s="87"/>
      <c r="AW44" s="87"/>
      <c r="AX44" s="87"/>
      <c r="AY44" s="87"/>
      <c r="AZ44" s="87"/>
      <c r="BA44" s="87"/>
      <c r="BB44" s="87"/>
      <c r="BC44" s="87"/>
      <c r="BD44" s="87"/>
      <c r="BE44" s="87"/>
      <c r="BF44" s="87"/>
      <c r="BG44" s="87"/>
      <c r="BH44" s="87"/>
      <c r="BI44" s="87"/>
      <c r="BJ44" s="87"/>
      <c r="BK44" s="87"/>
      <c r="BL44" s="87"/>
      <c r="BM44" s="87"/>
      <c r="BN44" s="87"/>
      <c r="BO44" s="87"/>
      <c r="BP44" s="87"/>
      <c r="BQ44" s="87"/>
      <c r="BR44" s="87"/>
      <c r="BS44" s="87"/>
      <c r="BT44" s="87"/>
      <c r="BU44" s="87"/>
      <c r="BV44" s="87"/>
      <c r="BW44" s="87"/>
      <c r="BX44" s="87"/>
    </row>
    <row r="45" spans="1:80" ht="15.75" customHeight="1" thickBot="1" x14ac:dyDescent="0.3">
      <c r="A45" s="87"/>
      <c r="B45" s="695"/>
      <c r="C45" s="695"/>
      <c r="D45" s="696"/>
      <c r="E45" s="795"/>
      <c r="F45" s="796"/>
      <c r="G45" s="796"/>
      <c r="H45" s="796"/>
      <c r="I45" s="796"/>
      <c r="J45" s="83" t="e">
        <f>IF(AND('Mapa final'!#REF!="Baja",'Mapa final'!#REF!="Leve"),CONCATENATE("R10C",'Mapa final'!#REF!),"")</f>
        <v>#REF!</v>
      </c>
      <c r="K45" s="84" t="e">
        <f>IF(AND('Mapa final'!#REF!="Baja",'Mapa final'!#REF!="Leve"),CONCATENATE("R10C",'Mapa final'!#REF!),"")</f>
        <v>#REF!</v>
      </c>
      <c r="L45" s="84" t="e">
        <f>IF(AND('Mapa final'!#REF!="Baja",'Mapa final'!#REF!="Leve"),CONCATENATE("R10C",'Mapa final'!#REF!),"")</f>
        <v>#REF!</v>
      </c>
      <c r="M45" s="84" t="e">
        <f>IF(AND('Mapa final'!#REF!="Baja",'Mapa final'!#REF!="Leve"),CONCATENATE("R10C",'Mapa final'!#REF!),"")</f>
        <v>#REF!</v>
      </c>
      <c r="N45" s="84" t="e">
        <f>IF(AND('Mapa final'!#REF!="Baja",'Mapa final'!#REF!="Leve"),CONCATENATE("R10C",'Mapa final'!#REF!),"")</f>
        <v>#REF!</v>
      </c>
      <c r="O45" s="85" t="e">
        <f>IF(AND('Mapa final'!#REF!="Baja",'Mapa final'!#REF!="Leve"),CONCATENATE("R10C",'Mapa final'!#REF!),"")</f>
        <v>#REF!</v>
      </c>
      <c r="P45" s="71" t="e">
        <f>IF(AND('Mapa final'!#REF!="Baja",'Mapa final'!#REF!="Menor"),CONCATENATE("R10C",'Mapa final'!#REF!),"")</f>
        <v>#REF!</v>
      </c>
      <c r="Q45" s="72" t="e">
        <f>IF(AND('Mapa final'!#REF!="Baja",'Mapa final'!#REF!="Menor"),CONCATENATE("R10C",'Mapa final'!#REF!),"")</f>
        <v>#REF!</v>
      </c>
      <c r="R45" s="72" t="e">
        <f>IF(AND('Mapa final'!#REF!="Baja",'Mapa final'!#REF!="Menor"),CONCATENATE("R10C",'Mapa final'!#REF!),"")</f>
        <v>#REF!</v>
      </c>
      <c r="S45" s="72" t="e">
        <f>IF(AND('Mapa final'!#REF!="Baja",'Mapa final'!#REF!="Menor"),CONCATENATE("R10C",'Mapa final'!#REF!),"")</f>
        <v>#REF!</v>
      </c>
      <c r="T45" s="72" t="e">
        <f>IF(AND('Mapa final'!#REF!="Baja",'Mapa final'!#REF!="Menor"),CONCATENATE("R10C",'Mapa final'!#REF!),"")</f>
        <v>#REF!</v>
      </c>
      <c r="U45" s="73" t="e">
        <f>IF(AND('Mapa final'!#REF!="Baja",'Mapa final'!#REF!="Menor"),CONCATENATE("R10C",'Mapa final'!#REF!),"")</f>
        <v>#REF!</v>
      </c>
      <c r="V45" s="74" t="e">
        <f>IF(AND('Mapa final'!#REF!="Baja",'Mapa final'!#REF!="Moderado"),CONCATENATE("R10C",'Mapa final'!#REF!),"")</f>
        <v>#REF!</v>
      </c>
      <c r="W45" s="75" t="e">
        <f>IF(AND('Mapa final'!#REF!="Baja",'Mapa final'!#REF!="Moderado"),CONCATENATE("R10C",'Mapa final'!#REF!),"")</f>
        <v>#REF!</v>
      </c>
      <c r="X45" s="75" t="e">
        <f>IF(AND('Mapa final'!#REF!="Baja",'Mapa final'!#REF!="Moderado"),CONCATENATE("R10C",'Mapa final'!#REF!),"")</f>
        <v>#REF!</v>
      </c>
      <c r="Y45" s="75" t="e">
        <f>IF(AND('Mapa final'!#REF!="Baja",'Mapa final'!#REF!="Moderado"),CONCATENATE("R10C",'Mapa final'!#REF!),"")</f>
        <v>#REF!</v>
      </c>
      <c r="Z45" s="75" t="e">
        <f>IF(AND('Mapa final'!#REF!="Baja",'Mapa final'!#REF!="Moderado"),CONCATENATE("R10C",'Mapa final'!#REF!),"")</f>
        <v>#REF!</v>
      </c>
      <c r="AA45" s="76" t="e">
        <f>IF(AND('Mapa final'!#REF!="Baja",'Mapa final'!#REF!="Moderado"),CONCATENATE("R10C",'Mapa final'!#REF!),"")</f>
        <v>#REF!</v>
      </c>
      <c r="AB45" s="62" t="e">
        <f>IF(AND('Mapa final'!#REF!="Baja",'Mapa final'!#REF!="Mayor"),CONCATENATE("R10C",'Mapa final'!#REF!),"")</f>
        <v>#REF!</v>
      </c>
      <c r="AC45" s="63" t="e">
        <f>IF(AND('Mapa final'!#REF!="Baja",'Mapa final'!#REF!="Mayor"),CONCATENATE("R10C",'Mapa final'!#REF!),"")</f>
        <v>#REF!</v>
      </c>
      <c r="AD45" s="63" t="e">
        <f>IF(AND('Mapa final'!#REF!="Baja",'Mapa final'!#REF!="Mayor"),CONCATENATE("R10C",'Mapa final'!#REF!),"")</f>
        <v>#REF!</v>
      </c>
      <c r="AE45" s="63" t="e">
        <f>IF(AND('Mapa final'!#REF!="Baja",'Mapa final'!#REF!="Mayor"),CONCATENATE("R10C",'Mapa final'!#REF!),"")</f>
        <v>#REF!</v>
      </c>
      <c r="AF45" s="63" t="e">
        <f>IF(AND('Mapa final'!#REF!="Baja",'Mapa final'!#REF!="Mayor"),CONCATENATE("R10C",'Mapa final'!#REF!),"")</f>
        <v>#REF!</v>
      </c>
      <c r="AG45" s="64" t="e">
        <f>IF(AND('Mapa final'!#REF!="Baja",'Mapa final'!#REF!="Mayor"),CONCATENATE("R10C",'Mapa final'!#REF!),"")</f>
        <v>#REF!</v>
      </c>
      <c r="AH45" s="65" t="e">
        <f>IF(AND('Mapa final'!#REF!="Baja",'Mapa final'!#REF!="Catastrófico"),CONCATENATE("R10C",'Mapa final'!#REF!),"")</f>
        <v>#REF!</v>
      </c>
      <c r="AI45" s="66" t="e">
        <f>IF(AND('Mapa final'!#REF!="Baja",'Mapa final'!#REF!="Catastrófico"),CONCATENATE("R10C",'Mapa final'!#REF!),"")</f>
        <v>#REF!</v>
      </c>
      <c r="AJ45" s="66" t="e">
        <f>IF(AND('Mapa final'!#REF!="Baja",'Mapa final'!#REF!="Catastrófico"),CONCATENATE("R10C",'Mapa final'!#REF!),"")</f>
        <v>#REF!</v>
      </c>
      <c r="AK45" s="66" t="e">
        <f>IF(AND('Mapa final'!#REF!="Baja",'Mapa final'!#REF!="Catastrófico"),CONCATENATE("R10C",'Mapa final'!#REF!),"")</f>
        <v>#REF!</v>
      </c>
      <c r="AL45" s="66" t="e">
        <f>IF(AND('Mapa final'!#REF!="Baja",'Mapa final'!#REF!="Catastrófico"),CONCATENATE("R10C",'Mapa final'!#REF!),"")</f>
        <v>#REF!</v>
      </c>
      <c r="AM45" s="67" t="e">
        <f>IF(AND('Mapa final'!#REF!="Baja",'Mapa final'!#REF!="Catastrófico"),CONCATENATE("R10C",'Mapa final'!#REF!),"")</f>
        <v>#REF!</v>
      </c>
      <c r="AN45" s="87"/>
      <c r="AO45" s="817"/>
      <c r="AP45" s="818"/>
      <c r="AQ45" s="818"/>
      <c r="AR45" s="818"/>
      <c r="AS45" s="818"/>
      <c r="AT45" s="819"/>
    </row>
    <row r="46" spans="1:80" ht="46.5" customHeight="1" x14ac:dyDescent="0.35">
      <c r="A46" s="87"/>
      <c r="B46" s="695"/>
      <c r="C46" s="695"/>
      <c r="D46" s="696"/>
      <c r="E46" s="790" t="s">
        <v>467</v>
      </c>
      <c r="F46" s="791"/>
      <c r="G46" s="791"/>
      <c r="H46" s="791"/>
      <c r="I46" s="808"/>
      <c r="J46" s="77" t="str">
        <f ca="1">IF(AND('Mapa final'!$AC$9="Muy Baja",'Mapa final'!$AE$9="Leve"),CONCATENATE("R1C",'Mapa final'!$S$9),"")</f>
        <v/>
      </c>
      <c r="K46" s="78" t="str">
        <f>IF(AND('Mapa final'!$AC$11="Muy Baja",'Mapa final'!$AE$11="Leve"),CONCATENATE("R1C",'Mapa final'!$S$11),"")</f>
        <v/>
      </c>
      <c r="L46" s="78" t="str">
        <f>IF(AND('Mapa final'!$AC$13="Muy Baja",'Mapa final'!$AE$13="Leve"),CONCATENATE("R1C",'Mapa final'!$S$13),"")</f>
        <v/>
      </c>
      <c r="M46" s="78" t="str">
        <f>IF(AND('Mapa final'!$AC$14="Muy Baja",'Mapa final'!$AE$14="Leve"),CONCATENATE("R1C",'Mapa final'!$S$14),"")</f>
        <v/>
      </c>
      <c r="N46" s="78" t="str">
        <f>IF(AND('Mapa final'!$AC$15="Muy Baja",'Mapa final'!$AE$15="Leve"),CONCATENATE("R1C",'Mapa final'!$S$15),"")</f>
        <v/>
      </c>
      <c r="O46" s="79" t="str">
        <f ca="1">IF(AND('Mapa final'!$AC$60="Muy Baja",'Mapa final'!$AE$60="Leve"),CONCATENATE("R1C",'Mapa final'!$S$60),"")</f>
        <v/>
      </c>
      <c r="P46" s="77" t="str">
        <f ca="1">IF(AND('Mapa final'!$AC$9="Muy Baja",'Mapa final'!$AE$9="Menor"),CONCATENATE("R1C",'Mapa final'!$S$9),"")</f>
        <v/>
      </c>
      <c r="Q46" s="78" t="str">
        <f>IF(AND('Mapa final'!$AC$11="Muy Baja",'Mapa final'!$AE$11="Menor"),CONCATENATE("R1C",'Mapa final'!$S$11),"")</f>
        <v/>
      </c>
      <c r="R46" s="78" t="str">
        <f>IF(AND('Mapa final'!$AC$13="Muy Baja",'Mapa final'!$AE$13="Menor"),CONCATENATE("R1C",'Mapa final'!$S$13),"")</f>
        <v/>
      </c>
      <c r="S46" s="78" t="str">
        <f>IF(AND('Mapa final'!$AC$14="Muy Baja",'Mapa final'!$AE$14="Menor"),CONCATENATE("R1C",'Mapa final'!$S$14),"")</f>
        <v/>
      </c>
      <c r="T46" s="78" t="str">
        <f>IF(AND('Mapa final'!$AC$15="Muy Baja",'Mapa final'!$AE$15="Menor"),CONCATENATE("R1C",'Mapa final'!$S$15),"")</f>
        <v/>
      </c>
      <c r="U46" s="79" t="str">
        <f ca="1">IF(AND('Mapa final'!$AC$60="Muy Baja",'Mapa final'!$AE$60="Menor"),CONCATENATE("R1C",'Mapa final'!$S$60),"")</f>
        <v/>
      </c>
      <c r="V46" s="68" t="str">
        <f ca="1">IF(AND('Mapa final'!$AC$9="Muy Baja",'Mapa final'!$AE$9="Moderado"),CONCATENATE("R1C",'Mapa final'!$S$9),"")</f>
        <v/>
      </c>
      <c r="W46" s="86" t="str">
        <f>IF(AND('Mapa final'!$AC$11="Muy Baja",'Mapa final'!$AE$11="Moderado"),CONCATENATE("R1C",'Mapa final'!$S$11),"")</f>
        <v/>
      </c>
      <c r="X46" s="69" t="str">
        <f>IF(AND('Mapa final'!$AC$13="Muy Baja",'Mapa final'!$AE$13="Moderado"),CONCATENATE("R1C",'Mapa final'!$S$13),"")</f>
        <v/>
      </c>
      <c r="Y46" s="69" t="str">
        <f>IF(AND('Mapa final'!$AC$14="Muy Baja",'Mapa final'!$AE$14="Moderado"),CONCATENATE("R1C",'Mapa final'!$S$14),"")</f>
        <v/>
      </c>
      <c r="Z46" s="69" t="str">
        <f>IF(AND('Mapa final'!$AC$15="Muy Baja",'Mapa final'!$AE$15="Moderado"),CONCATENATE("R1C",'Mapa final'!$S$15),"")</f>
        <v/>
      </c>
      <c r="AA46" s="70" t="str">
        <f ca="1">IF(AND('Mapa final'!$AC$60="Muy Baja",'Mapa final'!$AE$60="Moderado"),CONCATENATE("R1C",'Mapa final'!$S$60),"")</f>
        <v/>
      </c>
      <c r="AB46" s="50" t="str">
        <f ca="1">IF(AND('Mapa final'!$AC$9="Muy Baja",'Mapa final'!$AE$9="Mayor"),CONCATENATE("R1C",'Mapa final'!$S$9),"")</f>
        <v/>
      </c>
      <c r="AC46" s="51" t="str">
        <f>IF(AND('Mapa final'!$AC$11="Muy Baja",'Mapa final'!$AE$11="Mayor"),CONCATENATE("R1C",'Mapa final'!$S$11),"")</f>
        <v/>
      </c>
      <c r="AD46" s="51" t="str">
        <f>IF(AND('Mapa final'!$AC$13="Muy Baja",'Mapa final'!$AE$13="Mayor"),CONCATENATE("R1C",'Mapa final'!$S$13),"")</f>
        <v>R1C3</v>
      </c>
      <c r="AE46" s="51" t="str">
        <f>IF(AND('Mapa final'!$AC$14="Muy Baja",'Mapa final'!$AE$14="Mayor"),CONCATENATE("R1C",'Mapa final'!$S$14),"")</f>
        <v/>
      </c>
      <c r="AF46" s="51" t="str">
        <f>IF(AND('Mapa final'!$AC$15="Muy Baja",'Mapa final'!$AE$15="Mayor"),CONCATENATE("R1C",'Mapa final'!$S$15),"")</f>
        <v/>
      </c>
      <c r="AG46" s="52" t="str">
        <f ca="1">IF(AND('Mapa final'!$AC$60="Muy Baja",'Mapa final'!$AE$60="Mayor"),CONCATENATE("R1C",'Mapa final'!$S$60),"")</f>
        <v/>
      </c>
      <c r="AH46" s="53" t="str">
        <f ca="1">IF(AND('Mapa final'!$AC$9="Muy Baja",'Mapa final'!$AE$9="Catastrófico"),CONCATENATE("R1C",'Mapa final'!$S$9),"")</f>
        <v/>
      </c>
      <c r="AI46" s="54" t="str">
        <f>IF(AND('Mapa final'!$AC$11="Muy Baja",'Mapa final'!$AE$11="Catastrófico"),CONCATENATE("R1C",'Mapa final'!$S$11),"")</f>
        <v/>
      </c>
      <c r="AJ46" s="54" t="str">
        <f>IF(AND('Mapa final'!$AC$13="Muy Baja",'Mapa final'!$AE$13="Catastrófico"),CONCATENATE("R1C",'Mapa final'!$S$13),"")</f>
        <v/>
      </c>
      <c r="AK46" s="54" t="str">
        <f>IF(AND('Mapa final'!$AC$14="Muy Baja",'Mapa final'!$AE$14="Catastrófico"),CONCATENATE("R1C",'Mapa final'!$S$14),"")</f>
        <v/>
      </c>
      <c r="AL46" s="54" t="str">
        <f>IF(AND('Mapa final'!$AC$15="Muy Baja",'Mapa final'!$AE$15="Catastrófico"),CONCATENATE("R1C",'Mapa final'!$S$15),"")</f>
        <v/>
      </c>
      <c r="AM46" s="55" t="str">
        <f ca="1">IF(AND('Mapa final'!$AC$60="Muy Baja",'Mapa final'!$AE$60="Catastrófico"),CONCATENATE("R1C",'Mapa final'!$S$60),"")</f>
        <v/>
      </c>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87"/>
      <c r="BN46" s="87"/>
      <c r="BO46" s="87"/>
      <c r="BP46" s="87"/>
      <c r="BQ46" s="87"/>
      <c r="BR46" s="87"/>
      <c r="BS46" s="87"/>
      <c r="BT46" s="87"/>
      <c r="BU46" s="87"/>
      <c r="BV46" s="87"/>
      <c r="BW46" s="87"/>
      <c r="BX46" s="87"/>
      <c r="BY46" s="87"/>
      <c r="BZ46" s="87"/>
      <c r="CA46" s="87"/>
      <c r="CB46" s="87"/>
    </row>
    <row r="47" spans="1:80" ht="46.5" customHeight="1" x14ac:dyDescent="0.25">
      <c r="A47" s="87"/>
      <c r="B47" s="695"/>
      <c r="C47" s="695"/>
      <c r="D47" s="696"/>
      <c r="E47" s="792"/>
      <c r="F47" s="793"/>
      <c r="G47" s="793"/>
      <c r="H47" s="793"/>
      <c r="I47" s="809"/>
      <c r="J47" s="80" t="str">
        <f ca="1">IF(AND('Mapa final'!$AC$63="Muy Baja",'Mapa final'!$AE$63="Leve"),CONCATENATE("R2C",'Mapa final'!$S$63),"")</f>
        <v/>
      </c>
      <c r="K47" s="81" t="str">
        <f ca="1">IF(AND('Mapa final'!$AC$66="Muy Baja",'Mapa final'!$AE$66="Leve"),CONCATENATE("R2C",'Mapa final'!$S$66),"")</f>
        <v/>
      </c>
      <c r="L47" s="81" t="str">
        <f ca="1">IF(AND('Mapa final'!$AC$69="Muy Baja",'Mapa final'!$AE$69="Leve"),CONCATENATE("R2C",'Mapa final'!$S$69),"")</f>
        <v/>
      </c>
      <c r="M47" s="81" t="str">
        <f ca="1">IF(AND('Mapa final'!$AC$70="Muy Baja",'Mapa final'!$AE$70="Leve"),CONCATENATE("R2C",'Mapa final'!$S$70),"")</f>
        <v/>
      </c>
      <c r="N47" s="81" t="str">
        <f ca="1">IF(AND('Mapa final'!$AC$71="Muy Baja",'Mapa final'!$AE$71="Leve"),CONCATENATE("R2C",'Mapa final'!$S$71),"")</f>
        <v/>
      </c>
      <c r="O47" s="82" t="str">
        <f ca="1">IF(AND('Mapa final'!$AC$74="Muy Baja",'Mapa final'!$AE$74="Leve"),CONCATENATE("R2C",'Mapa final'!$S$74),"")</f>
        <v/>
      </c>
      <c r="P47" s="80" t="str">
        <f ca="1">IF(AND('Mapa final'!$AC$63="Muy Baja",'Mapa final'!$AE$63="Menor"),CONCATENATE("R2C",'Mapa final'!$S$63),"")</f>
        <v/>
      </c>
      <c r="Q47" s="81" t="str">
        <f ca="1">IF(AND('Mapa final'!$AC$66="Muy Baja",'Mapa final'!$AE$66="Menor"),CONCATENATE("R2C",'Mapa final'!$S$66),"")</f>
        <v>R2C1</v>
      </c>
      <c r="R47" s="81" t="str">
        <f ca="1">IF(AND('Mapa final'!$AC$69="Muy Baja",'Mapa final'!$AE$69="Menor"),CONCATENATE("R2C",'Mapa final'!$S$69),"")</f>
        <v/>
      </c>
      <c r="S47" s="81" t="str">
        <f ca="1">IF(AND('Mapa final'!$AC$70="Muy Baja",'Mapa final'!$AE$70="Menor"),CONCATENATE("R2C",'Mapa final'!$S$70),"")</f>
        <v/>
      </c>
      <c r="T47" s="81" t="str">
        <f ca="1">IF(AND('Mapa final'!$AC$71="Muy Baja",'Mapa final'!$AE$71="Menor"),CONCATENATE("R2C",'Mapa final'!$S$71),"")</f>
        <v/>
      </c>
      <c r="U47" s="82" t="str">
        <f ca="1">IF(AND('Mapa final'!$AC$74="Muy Baja",'Mapa final'!$AE$74="Menor"),CONCATENATE("R2C",'Mapa final'!$S$74),"")</f>
        <v/>
      </c>
      <c r="V47" s="71" t="str">
        <f ca="1">IF(AND('Mapa final'!$AC$63="Muy Baja",'Mapa final'!$AE$63="Moderado"),CONCATENATE("R2C",'Mapa final'!$S$63),"")</f>
        <v/>
      </c>
      <c r="W47" s="72" t="str">
        <f ca="1">IF(AND('Mapa final'!$AC$66="Muy Baja",'Mapa final'!$AE$66="Moderado"),CONCATENATE("R2C",'Mapa final'!$S$66),"")</f>
        <v/>
      </c>
      <c r="X47" s="72" t="str">
        <f ca="1">IF(AND('Mapa final'!$AC$69="Muy Baja",'Mapa final'!$AE$69="Moderado"),CONCATENATE("R2C",'Mapa final'!$S$69),"")</f>
        <v/>
      </c>
      <c r="Y47" s="72" t="str">
        <f ca="1">IF(AND('Mapa final'!$AC$70="Muy Baja",'Mapa final'!$AE$70="Moderado"),CONCATENATE("R2C",'Mapa final'!$S$70),"")</f>
        <v/>
      </c>
      <c r="Z47" s="72" t="str">
        <f ca="1">IF(AND('Mapa final'!$AC$71="Muy Baja",'Mapa final'!$AE$71="Moderado"),CONCATENATE("R2C",'Mapa final'!$S$71),"")</f>
        <v/>
      </c>
      <c r="AA47" s="73" t="str">
        <f ca="1">IF(AND('Mapa final'!$AC$74="Muy Baja",'Mapa final'!$AE$74="Moderado"),CONCATENATE("R2C",'Mapa final'!$S$74),"")</f>
        <v/>
      </c>
      <c r="AB47" s="56" t="str">
        <f ca="1">IF(AND('Mapa final'!$AC$63="Muy Baja",'Mapa final'!$AE$63="Mayor"),CONCATENATE("R2C",'Mapa final'!$S$63),"")</f>
        <v/>
      </c>
      <c r="AC47" s="57" t="str">
        <f ca="1">IF(AND('Mapa final'!$AC$66="Muy Baja",'Mapa final'!$AE$66="Mayor"),CONCATENATE("R2C",'Mapa final'!$S$66),"")</f>
        <v/>
      </c>
      <c r="AD47" s="57" t="str">
        <f ca="1">IF(AND('Mapa final'!$AC$69="Muy Baja",'Mapa final'!$AE$69="Mayor"),CONCATENATE("R2C",'Mapa final'!$S$69),"")</f>
        <v/>
      </c>
      <c r="AE47" s="57" t="str">
        <f ca="1">IF(AND('Mapa final'!$AC$70="Muy Baja",'Mapa final'!$AE$70="Mayor"),CONCATENATE("R2C",'Mapa final'!$S$70),"")</f>
        <v/>
      </c>
      <c r="AF47" s="57" t="str">
        <f ca="1">IF(AND('Mapa final'!$AC$71="Muy Baja",'Mapa final'!$AE$71="Mayor"),CONCATENATE("R2C",'Mapa final'!$S$71),"")</f>
        <v/>
      </c>
      <c r="AG47" s="58" t="str">
        <f ca="1">IF(AND('Mapa final'!$AC$74="Muy Baja",'Mapa final'!$AE$74="Mayor"),CONCATENATE("R2C",'Mapa final'!$S$74),"")</f>
        <v/>
      </c>
      <c r="AH47" s="59" t="str">
        <f ca="1">IF(AND('Mapa final'!$AC$63="Muy Baja",'Mapa final'!$AE$63="Catastrófico"),CONCATENATE("R2C",'Mapa final'!$S$63),"")</f>
        <v/>
      </c>
      <c r="AI47" s="60" t="str">
        <f ca="1">IF(AND('Mapa final'!$AC$66="Muy Baja",'Mapa final'!$AE$66="Catastrófico"),CONCATENATE("R2C",'Mapa final'!$S$66),"")</f>
        <v/>
      </c>
      <c r="AJ47" s="60" t="str">
        <f ca="1">IF(AND('Mapa final'!$AC$69="Muy Baja",'Mapa final'!$AE$69="Catastrófico"),CONCATENATE("R2C",'Mapa final'!$S$69),"")</f>
        <v/>
      </c>
      <c r="AK47" s="60" t="str">
        <f ca="1">IF(AND('Mapa final'!$AC$70="Muy Baja",'Mapa final'!$AE$70="Catastrófico"),CONCATENATE("R2C",'Mapa final'!$S$70),"")</f>
        <v/>
      </c>
      <c r="AL47" s="60" t="str">
        <f ca="1">IF(AND('Mapa final'!$AC$71="Muy Baja",'Mapa final'!$AE$71="Catastrófico"),CONCATENATE("R2C",'Mapa final'!$S$71),"")</f>
        <v/>
      </c>
      <c r="AM47" s="61" t="str">
        <f ca="1">IF(AND('Mapa final'!$AC$74="Muy Baja",'Mapa final'!$AE$74="Catastrófico"),CONCATENATE("R2C",'Mapa final'!$S$74),"")</f>
        <v/>
      </c>
      <c r="AN47" s="87"/>
      <c r="AO47" s="87"/>
      <c r="AP47" s="87"/>
      <c r="AQ47" s="87"/>
      <c r="AR47" s="87"/>
      <c r="AS47" s="87"/>
      <c r="AT47" s="87"/>
      <c r="AU47" s="87"/>
      <c r="AV47" s="87"/>
      <c r="AW47" s="87"/>
      <c r="AX47" s="87"/>
      <c r="AY47" s="87"/>
      <c r="AZ47" s="87"/>
      <c r="BA47" s="87"/>
      <c r="BB47" s="87"/>
      <c r="BC47" s="87"/>
      <c r="BD47" s="87"/>
      <c r="BE47" s="87"/>
      <c r="BF47" s="87"/>
      <c r="BG47" s="87"/>
      <c r="BH47" s="87"/>
      <c r="BI47" s="87"/>
      <c r="BJ47" s="87"/>
      <c r="BK47" s="87"/>
      <c r="BL47" s="87"/>
      <c r="BM47" s="87"/>
      <c r="BN47" s="87"/>
      <c r="BO47" s="87"/>
      <c r="BP47" s="87"/>
      <c r="BQ47" s="87"/>
      <c r="BR47" s="87"/>
      <c r="BS47" s="87"/>
      <c r="BT47" s="87"/>
      <c r="BU47" s="87"/>
      <c r="BV47" s="87"/>
      <c r="BW47" s="87"/>
      <c r="BX47" s="87"/>
      <c r="BY47" s="87"/>
      <c r="BZ47" s="87"/>
      <c r="CA47" s="87"/>
      <c r="CB47" s="87"/>
    </row>
    <row r="48" spans="1:80" ht="15" customHeight="1" x14ac:dyDescent="0.25">
      <c r="A48" s="87"/>
      <c r="B48" s="695"/>
      <c r="C48" s="695"/>
      <c r="D48" s="696"/>
      <c r="E48" s="792"/>
      <c r="F48" s="793"/>
      <c r="G48" s="793"/>
      <c r="H48" s="793"/>
      <c r="I48" s="809"/>
      <c r="J48" s="80" t="str">
        <f ca="1">IF(AND('Mapa final'!$AC$75="Muy Baja",'Mapa final'!$AE$75="Leve"),CONCATENATE("R3C",'Mapa final'!$S$75),"")</f>
        <v/>
      </c>
      <c r="K48" s="81" t="str">
        <f>IF(AND('Mapa final'!$AC$76="Muy Baja",'Mapa final'!$AE$76="Leve"),CONCATENATE("R3C",'Mapa final'!$S$76),"")</f>
        <v/>
      </c>
      <c r="L48" s="81" t="str">
        <f>IF(AND('Mapa final'!$AC$77="Muy Baja",'Mapa final'!$AE$77="Leve"),CONCATENATE("R3C",'Mapa final'!$S$77),"")</f>
        <v/>
      </c>
      <c r="M48" s="81" t="str">
        <f>IF(AND('Mapa final'!$AC$78="Muy Baja",'Mapa final'!$AE$78="Leve"),CONCATENATE("R3C",'Mapa final'!$S$78),"")</f>
        <v/>
      </c>
      <c r="N48" s="81" t="str">
        <f>IF(AND('Mapa final'!$AC$79="Muy Baja",'Mapa final'!$AE$79="Leve"),CONCATENATE("R3C",'Mapa final'!$S$79),"")</f>
        <v/>
      </c>
      <c r="O48" s="82" t="str">
        <f ca="1">IF(AND('Mapa final'!$AC$80="Muy Baja",'Mapa final'!$AE$80="Leve"),CONCATENATE("R3C",'Mapa final'!$S$80),"")</f>
        <v/>
      </c>
      <c r="P48" s="80" t="str">
        <f ca="1">IF(AND('Mapa final'!$AC$75="Muy Baja",'Mapa final'!$AE$75="Menor"),CONCATENATE("R3C",'Mapa final'!$S$75),"")</f>
        <v/>
      </c>
      <c r="Q48" s="81" t="str">
        <f>IF(AND('Mapa final'!$AC$76="Muy Baja",'Mapa final'!$AE$76="Menor"),CONCATENATE("R3C",'Mapa final'!$S$76),"")</f>
        <v/>
      </c>
      <c r="R48" s="81" t="str">
        <f>IF(AND('Mapa final'!$AC$77="Muy Baja",'Mapa final'!$AE$77="Menor"),CONCATENATE("R3C",'Mapa final'!$S$77),"")</f>
        <v/>
      </c>
      <c r="S48" s="81" t="str">
        <f>IF(AND('Mapa final'!$AC$78="Muy Baja",'Mapa final'!$AE$78="Menor"),CONCATENATE("R3C",'Mapa final'!$S$78),"")</f>
        <v/>
      </c>
      <c r="T48" s="81" t="str">
        <f>IF(AND('Mapa final'!$AC$79="Muy Baja",'Mapa final'!$AE$79="Menor"),CONCATENATE("R3C",'Mapa final'!$S$79),"")</f>
        <v/>
      </c>
      <c r="U48" s="82" t="str">
        <f ca="1">IF(AND('Mapa final'!$AC$80="Muy Baja",'Mapa final'!$AE$80="Menor"),CONCATENATE("R3C",'Mapa final'!$S$80),"")</f>
        <v/>
      </c>
      <c r="V48" s="71" t="str">
        <f ca="1">IF(AND('Mapa final'!$AC$75="Muy Baja",'Mapa final'!$AE$75="Moderado"),CONCATENATE("R3C",'Mapa final'!$S$75),"")</f>
        <v/>
      </c>
      <c r="W48" s="72" t="str">
        <f>IF(AND('Mapa final'!$AC$76="Muy Baja",'Mapa final'!$AE$76="Moderado"),CONCATENATE("R3C",'Mapa final'!$S$76),"")</f>
        <v>R3C1</v>
      </c>
      <c r="X48" s="72" t="str">
        <f>IF(AND('Mapa final'!$AC$77="Muy Baja",'Mapa final'!$AE$77="Moderado"),CONCATENATE("R3C",'Mapa final'!$S$77),"")</f>
        <v>R3C2</v>
      </c>
      <c r="Y48" s="72" t="str">
        <f>IF(AND('Mapa final'!$AC$78="Muy Baja",'Mapa final'!$AE$78="Moderado"),CONCATENATE("R3C",'Mapa final'!$S$78),"")</f>
        <v>R3C1</v>
      </c>
      <c r="Z48" s="72" t="str">
        <f>IF(AND('Mapa final'!$AC$79="Muy Baja",'Mapa final'!$AE$79="Moderado"),CONCATENATE("R3C",'Mapa final'!$S$79),"")</f>
        <v>R3C2</v>
      </c>
      <c r="AA48" s="73" t="str">
        <f ca="1">IF(AND('Mapa final'!$AC$80="Muy Baja",'Mapa final'!$AE$80="Moderado"),CONCATENATE("R3C",'Mapa final'!$S$80),"")</f>
        <v/>
      </c>
      <c r="AB48" s="56" t="str">
        <f ca="1">IF(AND('Mapa final'!$AC$75="Muy Baja",'Mapa final'!$AE$75="Mayor"),CONCATENATE("R3C",'Mapa final'!$S$75),"")</f>
        <v/>
      </c>
      <c r="AC48" s="57" t="str">
        <f>IF(AND('Mapa final'!$AC$76="Muy Baja",'Mapa final'!$AE$76="Mayor"),CONCATENATE("R3C",'Mapa final'!$S$76),"")</f>
        <v/>
      </c>
      <c r="AD48" s="57" t="str">
        <f>IF(AND('Mapa final'!$AC$77="Muy Baja",'Mapa final'!$AE$77="Mayor"),CONCATENATE("R3C",'Mapa final'!$S$77),"")</f>
        <v/>
      </c>
      <c r="AE48" s="57" t="str">
        <f>IF(AND('Mapa final'!$AC$78="Muy Baja",'Mapa final'!$AE$78="Mayor"),CONCATENATE("R3C",'Mapa final'!$S$78),"")</f>
        <v/>
      </c>
      <c r="AF48" s="57" t="str">
        <f>IF(AND('Mapa final'!$AC$79="Muy Baja",'Mapa final'!$AE$79="Mayor"),CONCATENATE("R3C",'Mapa final'!$S$79),"")</f>
        <v/>
      </c>
      <c r="AG48" s="58" t="str">
        <f ca="1">IF(AND('Mapa final'!$AC$80="Muy Baja",'Mapa final'!$AE$80="Mayor"),CONCATENATE("R3C",'Mapa final'!$S$80),"")</f>
        <v/>
      </c>
      <c r="AH48" s="59" t="str">
        <f ca="1">IF(AND('Mapa final'!$AC$75="Muy Baja",'Mapa final'!$AE$75="Catastrófico"),CONCATENATE("R3C",'Mapa final'!$S$75),"")</f>
        <v/>
      </c>
      <c r="AI48" s="60" t="str">
        <f>IF(AND('Mapa final'!$AC$76="Muy Baja",'Mapa final'!$AE$76="Catastrófico"),CONCATENATE("R3C",'Mapa final'!$S$76),"")</f>
        <v/>
      </c>
      <c r="AJ48" s="60" t="str">
        <f>IF(AND('Mapa final'!$AC$77="Muy Baja",'Mapa final'!$AE$77="Catastrófico"),CONCATENATE("R3C",'Mapa final'!$S$77),"")</f>
        <v/>
      </c>
      <c r="AK48" s="60" t="str">
        <f>IF(AND('Mapa final'!$AC$78="Muy Baja",'Mapa final'!$AE$78="Catastrófico"),CONCATENATE("R3C",'Mapa final'!$S$78),"")</f>
        <v/>
      </c>
      <c r="AL48" s="60" t="str">
        <f>IF(AND('Mapa final'!$AC$79="Muy Baja",'Mapa final'!$AE$79="Catastrófico"),CONCATENATE("R3C",'Mapa final'!$S$79),"")</f>
        <v/>
      </c>
      <c r="AM48" s="61" t="str">
        <f ca="1">IF(AND('Mapa final'!$AC$80="Muy Baja",'Mapa final'!$AE$80="Catastrófico"),CONCATENATE("R3C",'Mapa final'!$S$80),"")</f>
        <v/>
      </c>
      <c r="AN48" s="87"/>
      <c r="AO48" s="87"/>
      <c r="AP48" s="87"/>
      <c r="AQ48" s="87"/>
      <c r="AR48" s="87"/>
      <c r="AS48" s="87"/>
      <c r="AT48" s="87"/>
      <c r="AU48" s="87"/>
      <c r="AV48" s="87"/>
      <c r="AW48" s="87"/>
      <c r="AX48" s="87"/>
      <c r="AY48" s="87"/>
      <c r="AZ48" s="87"/>
      <c r="BA48" s="87"/>
      <c r="BB48" s="87"/>
      <c r="BC48" s="87"/>
      <c r="BD48" s="87"/>
      <c r="BE48" s="87"/>
      <c r="BF48" s="87"/>
      <c r="BG48" s="87"/>
      <c r="BH48" s="87"/>
      <c r="BI48" s="87"/>
      <c r="BJ48" s="87"/>
      <c r="BK48" s="87"/>
      <c r="BL48" s="87"/>
      <c r="BM48" s="87"/>
      <c r="BN48" s="87"/>
      <c r="BO48" s="87"/>
      <c r="BP48" s="87"/>
      <c r="BQ48" s="87"/>
      <c r="BR48" s="87"/>
      <c r="BS48" s="87"/>
      <c r="BT48" s="87"/>
      <c r="BU48" s="87"/>
      <c r="BV48" s="87"/>
      <c r="BW48" s="87"/>
      <c r="BX48" s="87"/>
      <c r="BY48" s="87"/>
      <c r="BZ48" s="87"/>
      <c r="CA48" s="87"/>
      <c r="CB48" s="87"/>
    </row>
    <row r="49" spans="1:80" ht="15" customHeight="1" x14ac:dyDescent="0.25">
      <c r="A49" s="87"/>
      <c r="B49" s="695"/>
      <c r="C49" s="695"/>
      <c r="D49" s="696"/>
      <c r="E49" s="794"/>
      <c r="F49" s="793"/>
      <c r="G49" s="793"/>
      <c r="H49" s="793"/>
      <c r="I49" s="809"/>
      <c r="J49" s="80" t="str">
        <f ca="1">IF(AND('Mapa final'!$AC$81="Muy Baja",'Mapa final'!$AE$81="Leve"),CONCATENATE("R4C",'Mapa final'!$S$81),"")</f>
        <v/>
      </c>
      <c r="K49" s="81" t="str">
        <f ca="1">IF(AND('Mapa final'!$AC$86="Muy Baja",'Mapa final'!$AE$86="Leve"),CONCATENATE("R4C",'Mapa final'!$S$86),"")</f>
        <v/>
      </c>
      <c r="L49" s="81" t="e">
        <f>IF(AND('Mapa final'!#REF!="Muy Baja",'Mapa final'!#REF!="Leve"),CONCATENATE("R4C",'Mapa final'!#REF!),"")</f>
        <v>#REF!</v>
      </c>
      <c r="M49" s="81" t="str">
        <f ca="1">IF(AND('Mapa final'!$AC$87="Muy Baja",'Mapa final'!$AE$87="Leve"),CONCATENATE("R4C",'Mapa final'!$S$87),"")</f>
        <v/>
      </c>
      <c r="N49" s="81" t="str">
        <f ca="1">IF(AND('Mapa final'!$AC$88="Muy Baja",'Mapa final'!$AE$88="Leve"),CONCATENATE("R4C",'Mapa final'!$S$88),"")</f>
        <v/>
      </c>
      <c r="O49" s="82" t="e">
        <f>IF(AND('Mapa final'!#REF!="Muy Baja",'Mapa final'!#REF!="Leve"),CONCATENATE("R4C",'Mapa final'!#REF!),"")</f>
        <v>#REF!</v>
      </c>
      <c r="P49" s="80" t="str">
        <f ca="1">IF(AND('Mapa final'!$AC$81="Muy Baja",'Mapa final'!$AE$81="Menor"),CONCATENATE("R4C",'Mapa final'!$S$81),"")</f>
        <v/>
      </c>
      <c r="Q49" s="81" t="str">
        <f ca="1">IF(AND('Mapa final'!$AC$86="Muy Baja",'Mapa final'!$AE$86="Menor"),CONCATENATE("R4C",'Mapa final'!$S$86),"")</f>
        <v/>
      </c>
      <c r="R49" s="81" t="e">
        <f>IF(AND('Mapa final'!#REF!="Muy Baja",'Mapa final'!#REF!="Menor"),CONCATENATE("R4C",'Mapa final'!#REF!),"")</f>
        <v>#REF!</v>
      </c>
      <c r="S49" s="81" t="str">
        <f ca="1">IF(AND('Mapa final'!$AC$87="Muy Baja",'Mapa final'!$AE$87="Menor"),CONCATENATE("R4C",'Mapa final'!$S$87),"")</f>
        <v/>
      </c>
      <c r="T49" s="81" t="str">
        <f ca="1">IF(AND('Mapa final'!$AC$88="Muy Baja",'Mapa final'!$AE$88="Menor"),CONCATENATE("R4C",'Mapa final'!$S$88),"")</f>
        <v/>
      </c>
      <c r="U49" s="82" t="e">
        <f>IF(AND('Mapa final'!#REF!="Muy Baja",'Mapa final'!#REF!="Menor"),CONCATENATE("R4C",'Mapa final'!#REF!),"")</f>
        <v>#REF!</v>
      </c>
      <c r="V49" s="71" t="str">
        <f ca="1">IF(AND('Mapa final'!$AC$81="Muy Baja",'Mapa final'!$AE$81="Moderado"),CONCATENATE("R4C",'Mapa final'!$S$81),"")</f>
        <v/>
      </c>
      <c r="W49" s="72" t="str">
        <f ca="1">IF(AND('Mapa final'!$AC$86="Muy Baja",'Mapa final'!$AE$86="Moderado"),CONCATENATE("R4C",'Mapa final'!$S$86),"")</f>
        <v/>
      </c>
      <c r="X49" s="72" t="e">
        <f>IF(AND('Mapa final'!#REF!="Muy Baja",'Mapa final'!#REF!="Moderado"),CONCATENATE("R4C",'Mapa final'!#REF!),"")</f>
        <v>#REF!</v>
      </c>
      <c r="Y49" s="72" t="str">
        <f ca="1">IF(AND('Mapa final'!$AC$87="Muy Baja",'Mapa final'!$AE$87="Moderado"),CONCATENATE("R4C",'Mapa final'!$S$87),"")</f>
        <v/>
      </c>
      <c r="Z49" s="72" t="str">
        <f ca="1">IF(AND('Mapa final'!$AC$88="Muy Baja",'Mapa final'!$AE$88="Moderado"),CONCATENATE("R4C",'Mapa final'!$S$88),"")</f>
        <v/>
      </c>
      <c r="AA49" s="73" t="e">
        <f>IF(AND('Mapa final'!#REF!="Muy Baja",'Mapa final'!#REF!="Moderado"),CONCATENATE("R4C",'Mapa final'!#REF!),"")</f>
        <v>#REF!</v>
      </c>
      <c r="AB49" s="56" t="str">
        <f ca="1">IF(AND('Mapa final'!$AC$81="Muy Baja",'Mapa final'!$AE$81="Mayor"),CONCATENATE("R4C",'Mapa final'!$S$81),"")</f>
        <v/>
      </c>
      <c r="AC49" s="57" t="str">
        <f ca="1">IF(AND('Mapa final'!$AC$86="Muy Baja",'Mapa final'!$AE$86="Mayor"),CONCATENATE("R4C",'Mapa final'!$S$86),"")</f>
        <v/>
      </c>
      <c r="AD49" s="57" t="e">
        <f>IF(AND('Mapa final'!#REF!="Muy Baja",'Mapa final'!#REF!="Mayor"),CONCATENATE("R4C",'Mapa final'!#REF!),"")</f>
        <v>#REF!</v>
      </c>
      <c r="AE49" s="57" t="str">
        <f ca="1">IF(AND('Mapa final'!$AC$87="Muy Baja",'Mapa final'!$AE$87="Mayor"),CONCATENATE("R4C",'Mapa final'!$S$87),"")</f>
        <v/>
      </c>
      <c r="AF49" s="57" t="str">
        <f ca="1">IF(AND('Mapa final'!$AC$88="Muy Baja",'Mapa final'!$AE$88="Mayor"),CONCATENATE("R4C",'Mapa final'!$S$88),"")</f>
        <v/>
      </c>
      <c r="AG49" s="58" t="e">
        <f>IF(AND('Mapa final'!#REF!="Muy Baja",'Mapa final'!#REF!="Mayor"),CONCATENATE("R4C",'Mapa final'!#REF!),"")</f>
        <v>#REF!</v>
      </c>
      <c r="AH49" s="59" t="str">
        <f ca="1">IF(AND('Mapa final'!$AC$81="Muy Baja",'Mapa final'!$AE$81="Catastrófico"),CONCATENATE("R4C",'Mapa final'!$S$81),"")</f>
        <v/>
      </c>
      <c r="AI49" s="60" t="str">
        <f ca="1">IF(AND('Mapa final'!$AC$86="Muy Baja",'Mapa final'!$AE$86="Catastrófico"),CONCATENATE("R4C",'Mapa final'!$S$86),"")</f>
        <v/>
      </c>
      <c r="AJ49" s="60" t="e">
        <f>IF(AND('Mapa final'!#REF!="Muy Baja",'Mapa final'!#REF!="Catastrófico"),CONCATENATE("R4C",'Mapa final'!#REF!),"")</f>
        <v>#REF!</v>
      </c>
      <c r="AK49" s="60" t="str">
        <f ca="1">IF(AND('Mapa final'!$AC$87="Muy Baja",'Mapa final'!$AE$87="Catastrófico"),CONCATENATE("R4C",'Mapa final'!$S$87),"")</f>
        <v/>
      </c>
      <c r="AL49" s="60" t="str">
        <f ca="1">IF(AND('Mapa final'!$AC$88="Muy Baja",'Mapa final'!$AE$88="Catastrófico"),CONCATENATE("R4C",'Mapa final'!$S$88),"")</f>
        <v/>
      </c>
      <c r="AM49" s="61" t="e">
        <f>IF(AND('Mapa final'!#REF!="Muy Baja",'Mapa final'!#REF!="Catastrófico"),CONCATENATE("R4C",'Mapa final'!#REF!),"")</f>
        <v>#REF!</v>
      </c>
      <c r="AN49" s="87"/>
      <c r="AO49" s="87"/>
      <c r="AP49" s="87"/>
      <c r="AQ49" s="87"/>
      <c r="AR49" s="87"/>
      <c r="AS49" s="87"/>
      <c r="AT49" s="87"/>
      <c r="AU49" s="87"/>
      <c r="AV49" s="87"/>
      <c r="AW49" s="87"/>
      <c r="AX49" s="87"/>
      <c r="AY49" s="87"/>
      <c r="AZ49" s="87"/>
      <c r="BA49" s="87"/>
      <c r="BB49" s="87"/>
      <c r="BC49" s="87"/>
      <c r="BD49" s="87"/>
      <c r="BE49" s="87"/>
      <c r="BF49" s="87"/>
      <c r="BG49" s="87"/>
      <c r="BH49" s="87"/>
      <c r="BI49" s="87"/>
      <c r="BJ49" s="87"/>
      <c r="BK49" s="87"/>
      <c r="BL49" s="87"/>
      <c r="BM49" s="87"/>
      <c r="BN49" s="87"/>
      <c r="BO49" s="87"/>
      <c r="BP49" s="87"/>
      <c r="BQ49" s="87"/>
      <c r="BR49" s="87"/>
      <c r="BS49" s="87"/>
      <c r="BT49" s="87"/>
      <c r="BU49" s="87"/>
      <c r="BV49" s="87"/>
      <c r="BW49" s="87"/>
      <c r="BX49" s="87"/>
      <c r="BY49" s="87"/>
      <c r="BZ49" s="87"/>
      <c r="CA49" s="87"/>
      <c r="CB49" s="87"/>
    </row>
    <row r="50" spans="1:80" ht="15" customHeight="1" x14ac:dyDescent="0.25">
      <c r="A50" s="87"/>
      <c r="B50" s="695"/>
      <c r="C50" s="695"/>
      <c r="D50" s="696"/>
      <c r="E50" s="794"/>
      <c r="F50" s="793"/>
      <c r="G50" s="793"/>
      <c r="H50" s="793"/>
      <c r="I50" s="809"/>
      <c r="J50" s="80" t="str">
        <f ca="1">IF(AND('Mapa final'!$AC$89="Muy Baja",'Mapa final'!$AE$89="Leve"),CONCATENATE("R5C",'Mapa final'!$S$89),"")</f>
        <v/>
      </c>
      <c r="K50" s="81" t="str">
        <f ca="1">IF(AND('Mapa final'!$AC$91="Muy Baja",'Mapa final'!$AE$91="Leve"),CONCATENATE("R5C",'Mapa final'!$S$91),"")</f>
        <v/>
      </c>
      <c r="L50" s="81" t="str">
        <f ca="1">IF(AND('Mapa final'!$AC$92="Muy Baja",'Mapa final'!$AE$92="Leve"),CONCATENATE("R5C",'Mapa final'!$S$92),"")</f>
        <v/>
      </c>
      <c r="M50" s="81" t="str">
        <f ca="1">IF(AND('Mapa final'!$AC$95="Muy Baja",'Mapa final'!$AE$95="Leve"),CONCATENATE("R5C",'Mapa final'!$S$95),"")</f>
        <v/>
      </c>
      <c r="N50" s="81" t="e">
        <f>IF(AND('Mapa final'!#REF!="Muy Baja",'Mapa final'!#REF!="Leve"),CONCATENATE("R5C",'Mapa final'!#REF!),"")</f>
        <v>#REF!</v>
      </c>
      <c r="O50" s="82" t="e">
        <f>IF(AND('Mapa final'!#REF!="Muy Baja",'Mapa final'!#REF!="Leve"),CONCATENATE("R5C",'Mapa final'!#REF!),"")</f>
        <v>#REF!</v>
      </c>
      <c r="P50" s="80" t="str">
        <f ca="1">IF(AND('Mapa final'!$AC$89="Muy Baja",'Mapa final'!$AE$89="Menor"),CONCATENATE("R5C",'Mapa final'!$S$89),"")</f>
        <v/>
      </c>
      <c r="Q50" s="81" t="str">
        <f ca="1">IF(AND('Mapa final'!$AC$91="Muy Baja",'Mapa final'!$AE$91="Menor"),CONCATENATE("R5C",'Mapa final'!$S$91),"")</f>
        <v/>
      </c>
      <c r="R50" s="81" t="str">
        <f ca="1">IF(AND('Mapa final'!$AC$92="Muy Baja",'Mapa final'!$AE$92="Menor"),CONCATENATE("R5C",'Mapa final'!$S$92),"")</f>
        <v/>
      </c>
      <c r="S50" s="81" t="str">
        <f ca="1">IF(AND('Mapa final'!$AC$95="Muy Baja",'Mapa final'!$AE$95="Menor"),CONCATENATE("R5C",'Mapa final'!$S$95),"")</f>
        <v>R5C4</v>
      </c>
      <c r="T50" s="81" t="e">
        <f>IF(AND('Mapa final'!#REF!="Muy Baja",'Mapa final'!#REF!="Menor"),CONCATENATE("R5C",'Mapa final'!#REF!),"")</f>
        <v>#REF!</v>
      </c>
      <c r="U50" s="82" t="e">
        <f>IF(AND('Mapa final'!#REF!="Muy Baja",'Mapa final'!#REF!="Menor"),CONCATENATE("R5C",'Mapa final'!#REF!),"")</f>
        <v>#REF!</v>
      </c>
      <c r="V50" s="71" t="str">
        <f ca="1">IF(AND('Mapa final'!$AC$89="Muy Baja",'Mapa final'!$AE$89="Moderado"),CONCATENATE("R5C",'Mapa final'!$S$89),"")</f>
        <v>R5C1</v>
      </c>
      <c r="W50" s="72" t="str">
        <f ca="1">IF(AND('Mapa final'!$AC$91="Muy Baja",'Mapa final'!$AE$91="Moderado"),CONCATENATE("R5C",'Mapa final'!$S$91),"")</f>
        <v>R5C3</v>
      </c>
      <c r="X50" s="72" t="str">
        <f ca="1">IF(AND('Mapa final'!$AC$92="Muy Baja",'Mapa final'!$AE$92="Moderado"),CONCATENATE("R5C",'Mapa final'!$S$92),"")</f>
        <v/>
      </c>
      <c r="Y50" s="72" t="str">
        <f ca="1">IF(AND('Mapa final'!$AC$95="Muy Baja",'Mapa final'!$AE$95="Moderado"),CONCATENATE("R5C",'Mapa final'!$S$95),"")</f>
        <v/>
      </c>
      <c r="Z50" s="72" t="e">
        <f>IF(AND('Mapa final'!#REF!="Muy Baja",'Mapa final'!#REF!="Moderado"),CONCATENATE("R5C",'Mapa final'!#REF!),"")</f>
        <v>#REF!</v>
      </c>
      <c r="AA50" s="73" t="e">
        <f>IF(AND('Mapa final'!#REF!="Muy Baja",'Mapa final'!#REF!="Moderado"),CONCATENATE("R5C",'Mapa final'!#REF!),"")</f>
        <v>#REF!</v>
      </c>
      <c r="AB50" s="56" t="str">
        <f ca="1">IF(AND('Mapa final'!$AC$89="Muy Baja",'Mapa final'!$AE$89="Mayor"),CONCATENATE("R5C",'Mapa final'!$S$89),"")</f>
        <v/>
      </c>
      <c r="AC50" s="57" t="str">
        <f ca="1">IF(AND('Mapa final'!$AC$91="Muy Baja",'Mapa final'!$AE$91="Mayor"),CONCATENATE("R5C",'Mapa final'!$S$91),"")</f>
        <v/>
      </c>
      <c r="AD50" s="57" t="str">
        <f ca="1">IF(AND('Mapa final'!$AC$92="Muy Baja",'Mapa final'!$AE$92="Mayor"),CONCATENATE("R5C",'Mapa final'!$S$92),"")</f>
        <v/>
      </c>
      <c r="AE50" s="57" t="str">
        <f ca="1">IF(AND('Mapa final'!$AC$95="Muy Baja",'Mapa final'!$AE$95="Mayor"),CONCATENATE("R5C",'Mapa final'!$S$95),"")</f>
        <v/>
      </c>
      <c r="AF50" s="57" t="e">
        <f>IF(AND('Mapa final'!#REF!="Muy Baja",'Mapa final'!#REF!="Mayor"),CONCATENATE("R5C",'Mapa final'!#REF!),"")</f>
        <v>#REF!</v>
      </c>
      <c r="AG50" s="58" t="e">
        <f>IF(AND('Mapa final'!#REF!="Muy Baja",'Mapa final'!#REF!="Mayor"),CONCATENATE("R5C",'Mapa final'!#REF!),"")</f>
        <v>#REF!</v>
      </c>
      <c r="AH50" s="59" t="str">
        <f ca="1">IF(AND('Mapa final'!$AC$89="Muy Baja",'Mapa final'!$AE$89="Catastrófico"),CONCATENATE("R5C",'Mapa final'!$S$89),"")</f>
        <v/>
      </c>
      <c r="AI50" s="60" t="str">
        <f ca="1">IF(AND('Mapa final'!$AC$91="Muy Baja",'Mapa final'!$AE$91="Catastrófico"),CONCATENATE("R5C",'Mapa final'!$S$91),"")</f>
        <v/>
      </c>
      <c r="AJ50" s="60" t="str">
        <f ca="1">IF(AND('Mapa final'!$AC$92="Muy Baja",'Mapa final'!$AE$92="Catastrófico"),CONCATENATE("R5C",'Mapa final'!$S$92),"")</f>
        <v/>
      </c>
      <c r="AK50" s="60" t="str">
        <f ca="1">IF(AND('Mapa final'!$AC$95="Muy Baja",'Mapa final'!$AE$95="Catastrófico"),CONCATENATE("R5C",'Mapa final'!$S$95),"")</f>
        <v/>
      </c>
      <c r="AL50" s="60" t="e">
        <f>IF(AND('Mapa final'!#REF!="Muy Baja",'Mapa final'!#REF!="Catastrófico"),CONCATENATE("R5C",'Mapa final'!#REF!),"")</f>
        <v>#REF!</v>
      </c>
      <c r="AM50" s="61" t="e">
        <f>IF(AND('Mapa final'!#REF!="Muy Baja",'Mapa final'!#REF!="Catastrófico"),CONCATENATE("R5C",'Mapa final'!#REF!),"")</f>
        <v>#REF!</v>
      </c>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c r="BP50" s="87"/>
      <c r="BQ50" s="87"/>
      <c r="BR50" s="87"/>
      <c r="BS50" s="87"/>
      <c r="BT50" s="87"/>
      <c r="BU50" s="87"/>
      <c r="BV50" s="87"/>
      <c r="BW50" s="87"/>
      <c r="BX50" s="87"/>
      <c r="BY50" s="87"/>
      <c r="BZ50" s="87"/>
      <c r="CA50" s="87"/>
      <c r="CB50" s="87"/>
    </row>
    <row r="51" spans="1:80" ht="15" customHeight="1" x14ac:dyDescent="0.25">
      <c r="A51" s="87"/>
      <c r="B51" s="695"/>
      <c r="C51" s="695"/>
      <c r="D51" s="696"/>
      <c r="E51" s="794"/>
      <c r="F51" s="793"/>
      <c r="G51" s="793"/>
      <c r="H51" s="793"/>
      <c r="I51" s="809"/>
      <c r="J51" s="80" t="e">
        <f>IF(AND('Mapa final'!#REF!="Muy Baja",'Mapa final'!#REF!="Leve"),CONCATENATE("R6C",'Mapa final'!#REF!),"")</f>
        <v>#REF!</v>
      </c>
      <c r="K51" s="81" t="e">
        <f>IF(AND('Mapa final'!#REF!="Muy Baja",'Mapa final'!#REF!="Leve"),CONCATENATE("R6C",'Mapa final'!#REF!),"")</f>
        <v>#REF!</v>
      </c>
      <c r="L51" s="81" t="e">
        <f>IF(AND('Mapa final'!#REF!="Muy Baja",'Mapa final'!#REF!="Leve"),CONCATENATE("R6C",'Mapa final'!#REF!),"")</f>
        <v>#REF!</v>
      </c>
      <c r="M51" s="81" t="e">
        <f>IF(AND('Mapa final'!#REF!="Muy Baja",'Mapa final'!#REF!="Leve"),CONCATENATE("R6C",'Mapa final'!#REF!),"")</f>
        <v>#REF!</v>
      </c>
      <c r="N51" s="81" t="e">
        <f>IF(AND('Mapa final'!#REF!="Muy Baja",'Mapa final'!#REF!="Leve"),CONCATENATE("R6C",'Mapa final'!#REF!),"")</f>
        <v>#REF!</v>
      </c>
      <c r="O51" s="82" t="e">
        <f>IF(AND('Mapa final'!#REF!="Muy Baja",'Mapa final'!#REF!="Leve"),CONCATENATE("R6C",'Mapa final'!#REF!),"")</f>
        <v>#REF!</v>
      </c>
      <c r="P51" s="80" t="e">
        <f>IF(AND('Mapa final'!#REF!="Muy Baja",'Mapa final'!#REF!="Menor"),CONCATENATE("R6C",'Mapa final'!#REF!),"")</f>
        <v>#REF!</v>
      </c>
      <c r="Q51" s="81" t="e">
        <f>IF(AND('Mapa final'!#REF!="Muy Baja",'Mapa final'!#REF!="Menor"),CONCATENATE("R6C",'Mapa final'!#REF!),"")</f>
        <v>#REF!</v>
      </c>
      <c r="R51" s="81" t="e">
        <f>IF(AND('Mapa final'!#REF!="Muy Baja",'Mapa final'!#REF!="Menor"),CONCATENATE("R6C",'Mapa final'!#REF!),"")</f>
        <v>#REF!</v>
      </c>
      <c r="S51" s="81" t="e">
        <f>IF(AND('Mapa final'!#REF!="Muy Baja",'Mapa final'!#REF!="Menor"),CONCATENATE("R6C",'Mapa final'!#REF!),"")</f>
        <v>#REF!</v>
      </c>
      <c r="T51" s="81" t="e">
        <f>IF(AND('Mapa final'!#REF!="Muy Baja",'Mapa final'!#REF!="Menor"),CONCATENATE("R6C",'Mapa final'!#REF!),"")</f>
        <v>#REF!</v>
      </c>
      <c r="U51" s="82" t="e">
        <f>IF(AND('Mapa final'!#REF!="Muy Baja",'Mapa final'!#REF!="Menor"),CONCATENATE("R6C",'Mapa final'!#REF!),"")</f>
        <v>#REF!</v>
      </c>
      <c r="V51" s="71" t="e">
        <f>IF(AND('Mapa final'!#REF!="Muy Baja",'Mapa final'!#REF!="Moderado"),CONCATENATE("R6C",'Mapa final'!#REF!),"")</f>
        <v>#REF!</v>
      </c>
      <c r="W51" s="72" t="e">
        <f>IF(AND('Mapa final'!#REF!="Muy Baja",'Mapa final'!#REF!="Moderado"),CONCATENATE("R6C",'Mapa final'!#REF!),"")</f>
        <v>#REF!</v>
      </c>
      <c r="X51" s="72" t="e">
        <f>IF(AND('Mapa final'!#REF!="Muy Baja",'Mapa final'!#REF!="Moderado"),CONCATENATE("R6C",'Mapa final'!#REF!),"")</f>
        <v>#REF!</v>
      </c>
      <c r="Y51" s="72" t="e">
        <f>IF(AND('Mapa final'!#REF!="Muy Baja",'Mapa final'!#REF!="Moderado"),CONCATENATE("R6C",'Mapa final'!#REF!),"")</f>
        <v>#REF!</v>
      </c>
      <c r="Z51" s="72" t="e">
        <f>IF(AND('Mapa final'!#REF!="Muy Baja",'Mapa final'!#REF!="Moderado"),CONCATENATE("R6C",'Mapa final'!#REF!),"")</f>
        <v>#REF!</v>
      </c>
      <c r="AA51" s="73" t="e">
        <f>IF(AND('Mapa final'!#REF!="Muy Baja",'Mapa final'!#REF!="Moderado"),CONCATENATE("R6C",'Mapa final'!#REF!),"")</f>
        <v>#REF!</v>
      </c>
      <c r="AB51" s="56" t="e">
        <f>IF(AND('Mapa final'!#REF!="Muy Baja",'Mapa final'!#REF!="Mayor"),CONCATENATE("R6C",'Mapa final'!#REF!),"")</f>
        <v>#REF!</v>
      </c>
      <c r="AC51" s="57" t="e">
        <f>IF(AND('Mapa final'!#REF!="Muy Baja",'Mapa final'!#REF!="Mayor"),CONCATENATE("R6C",'Mapa final'!#REF!),"")</f>
        <v>#REF!</v>
      </c>
      <c r="AD51" s="57" t="e">
        <f>IF(AND('Mapa final'!#REF!="Muy Baja",'Mapa final'!#REF!="Mayor"),CONCATENATE("R6C",'Mapa final'!#REF!),"")</f>
        <v>#REF!</v>
      </c>
      <c r="AE51" s="57" t="e">
        <f>IF(AND('Mapa final'!#REF!="Muy Baja",'Mapa final'!#REF!="Mayor"),CONCATENATE("R6C",'Mapa final'!#REF!),"")</f>
        <v>#REF!</v>
      </c>
      <c r="AF51" s="57" t="e">
        <f>IF(AND('Mapa final'!#REF!="Muy Baja",'Mapa final'!#REF!="Mayor"),CONCATENATE("R6C",'Mapa final'!#REF!),"")</f>
        <v>#REF!</v>
      </c>
      <c r="AG51" s="58" t="e">
        <f>IF(AND('Mapa final'!#REF!="Muy Baja",'Mapa final'!#REF!="Mayor"),CONCATENATE("R6C",'Mapa final'!#REF!),"")</f>
        <v>#REF!</v>
      </c>
      <c r="AH51" s="59" t="e">
        <f>IF(AND('Mapa final'!#REF!="Muy Baja",'Mapa final'!#REF!="Catastrófico"),CONCATENATE("R6C",'Mapa final'!#REF!),"")</f>
        <v>#REF!</v>
      </c>
      <c r="AI51" s="60" t="e">
        <f>IF(AND('Mapa final'!#REF!="Muy Baja",'Mapa final'!#REF!="Catastrófico"),CONCATENATE("R6C",'Mapa final'!#REF!),"")</f>
        <v>#REF!</v>
      </c>
      <c r="AJ51" s="60" t="e">
        <f>IF(AND('Mapa final'!#REF!="Muy Baja",'Mapa final'!#REF!="Catastrófico"),CONCATENATE("R6C",'Mapa final'!#REF!),"")</f>
        <v>#REF!</v>
      </c>
      <c r="AK51" s="60" t="e">
        <f>IF(AND('Mapa final'!#REF!="Muy Baja",'Mapa final'!#REF!="Catastrófico"),CONCATENATE("R6C",'Mapa final'!#REF!),"")</f>
        <v>#REF!</v>
      </c>
      <c r="AL51" s="60" t="e">
        <f>IF(AND('Mapa final'!#REF!="Muy Baja",'Mapa final'!#REF!="Catastrófico"),CONCATENATE("R6C",'Mapa final'!#REF!),"")</f>
        <v>#REF!</v>
      </c>
      <c r="AM51" s="61" t="e">
        <f>IF(AND('Mapa final'!#REF!="Muy Baja",'Mapa final'!#REF!="Catastrófico"),CONCATENATE("R6C",'Mapa final'!#REF!),"")</f>
        <v>#REF!</v>
      </c>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c r="BP51" s="87"/>
      <c r="BQ51" s="87"/>
      <c r="BR51" s="87"/>
      <c r="BS51" s="87"/>
      <c r="BT51" s="87"/>
      <c r="BU51" s="87"/>
      <c r="BV51" s="87"/>
      <c r="BW51" s="87"/>
      <c r="BX51" s="87"/>
      <c r="BY51" s="87"/>
      <c r="BZ51" s="87"/>
      <c r="CA51" s="87"/>
      <c r="CB51" s="87"/>
    </row>
    <row r="52" spans="1:80" ht="15" customHeight="1" x14ac:dyDescent="0.25">
      <c r="A52" s="87"/>
      <c r="B52" s="695"/>
      <c r="C52" s="695"/>
      <c r="D52" s="696"/>
      <c r="E52" s="794"/>
      <c r="F52" s="793"/>
      <c r="G52" s="793"/>
      <c r="H52" s="793"/>
      <c r="I52" s="809"/>
      <c r="J52" s="80" t="e">
        <f>IF(AND('Mapa final'!#REF!="Muy Baja",'Mapa final'!#REF!="Leve"),CONCATENATE("R7C",'Mapa final'!#REF!),"")</f>
        <v>#REF!</v>
      </c>
      <c r="K52" s="81" t="e">
        <f>IF(AND('Mapa final'!#REF!="Muy Baja",'Mapa final'!#REF!="Leve"),CONCATENATE("R7C",'Mapa final'!#REF!),"")</f>
        <v>#REF!</v>
      </c>
      <c r="L52" s="81" t="e">
        <f>IF(AND('Mapa final'!#REF!="Muy Baja",'Mapa final'!#REF!="Leve"),CONCATENATE("R7C",'Mapa final'!#REF!),"")</f>
        <v>#REF!</v>
      </c>
      <c r="M52" s="81" t="e">
        <f>IF(AND('Mapa final'!#REF!="Muy Baja",'Mapa final'!#REF!="Leve"),CONCATENATE("R7C",'Mapa final'!#REF!),"")</f>
        <v>#REF!</v>
      </c>
      <c r="N52" s="81" t="e">
        <f>IF(AND('Mapa final'!#REF!="Muy Baja",'Mapa final'!#REF!="Leve"),CONCATENATE("R7C",'Mapa final'!#REF!),"")</f>
        <v>#REF!</v>
      </c>
      <c r="O52" s="82" t="e">
        <f>IF(AND('Mapa final'!#REF!="Muy Baja",'Mapa final'!#REF!="Leve"),CONCATENATE("R7C",'Mapa final'!#REF!),"")</f>
        <v>#REF!</v>
      </c>
      <c r="P52" s="80" t="e">
        <f>IF(AND('Mapa final'!#REF!="Muy Baja",'Mapa final'!#REF!="Menor"),CONCATENATE("R7C",'Mapa final'!#REF!),"")</f>
        <v>#REF!</v>
      </c>
      <c r="Q52" s="81" t="e">
        <f>IF(AND('Mapa final'!#REF!="Muy Baja",'Mapa final'!#REF!="Menor"),CONCATENATE("R7C",'Mapa final'!#REF!),"")</f>
        <v>#REF!</v>
      </c>
      <c r="R52" s="81" t="e">
        <f>IF(AND('Mapa final'!#REF!="Muy Baja",'Mapa final'!#REF!="Menor"),CONCATENATE("R7C",'Mapa final'!#REF!),"")</f>
        <v>#REF!</v>
      </c>
      <c r="S52" s="81" t="e">
        <f>IF(AND('Mapa final'!#REF!="Muy Baja",'Mapa final'!#REF!="Menor"),CONCATENATE("R7C",'Mapa final'!#REF!),"")</f>
        <v>#REF!</v>
      </c>
      <c r="T52" s="81" t="e">
        <f>IF(AND('Mapa final'!#REF!="Muy Baja",'Mapa final'!#REF!="Menor"),CONCATENATE("R7C",'Mapa final'!#REF!),"")</f>
        <v>#REF!</v>
      </c>
      <c r="U52" s="82" t="e">
        <f>IF(AND('Mapa final'!#REF!="Muy Baja",'Mapa final'!#REF!="Menor"),CONCATENATE("R7C",'Mapa final'!#REF!),"")</f>
        <v>#REF!</v>
      </c>
      <c r="V52" s="71" t="e">
        <f>IF(AND('Mapa final'!#REF!="Muy Baja",'Mapa final'!#REF!="Moderado"),CONCATENATE("R7C",'Mapa final'!#REF!),"")</f>
        <v>#REF!</v>
      </c>
      <c r="W52" s="72" t="e">
        <f>IF(AND('Mapa final'!#REF!="Muy Baja",'Mapa final'!#REF!="Moderado"),CONCATENATE("R7C",'Mapa final'!#REF!),"")</f>
        <v>#REF!</v>
      </c>
      <c r="X52" s="72" t="e">
        <f>IF(AND('Mapa final'!#REF!="Muy Baja",'Mapa final'!#REF!="Moderado"),CONCATENATE("R7C",'Mapa final'!#REF!),"")</f>
        <v>#REF!</v>
      </c>
      <c r="Y52" s="72" t="e">
        <f>IF(AND('Mapa final'!#REF!="Muy Baja",'Mapa final'!#REF!="Moderado"),CONCATENATE("R7C",'Mapa final'!#REF!),"")</f>
        <v>#REF!</v>
      </c>
      <c r="Z52" s="72" t="e">
        <f>IF(AND('Mapa final'!#REF!="Muy Baja",'Mapa final'!#REF!="Moderado"),CONCATENATE("R7C",'Mapa final'!#REF!),"")</f>
        <v>#REF!</v>
      </c>
      <c r="AA52" s="73" t="e">
        <f>IF(AND('Mapa final'!#REF!="Muy Baja",'Mapa final'!#REF!="Moderado"),CONCATENATE("R7C",'Mapa final'!#REF!),"")</f>
        <v>#REF!</v>
      </c>
      <c r="AB52" s="56" t="e">
        <f>IF(AND('Mapa final'!#REF!="Muy Baja",'Mapa final'!#REF!="Mayor"),CONCATENATE("R7C",'Mapa final'!#REF!),"")</f>
        <v>#REF!</v>
      </c>
      <c r="AC52" s="57" t="e">
        <f>IF(AND('Mapa final'!#REF!="Muy Baja",'Mapa final'!#REF!="Mayor"),CONCATENATE("R7C",'Mapa final'!#REF!),"")</f>
        <v>#REF!</v>
      </c>
      <c r="AD52" s="57" t="e">
        <f>IF(AND('Mapa final'!#REF!="Muy Baja",'Mapa final'!#REF!="Mayor"),CONCATENATE("R7C",'Mapa final'!#REF!),"")</f>
        <v>#REF!</v>
      </c>
      <c r="AE52" s="57" t="e">
        <f>IF(AND('Mapa final'!#REF!="Muy Baja",'Mapa final'!#REF!="Mayor"),CONCATENATE("R7C",'Mapa final'!#REF!),"")</f>
        <v>#REF!</v>
      </c>
      <c r="AF52" s="57" t="e">
        <f>IF(AND('Mapa final'!#REF!="Muy Baja",'Mapa final'!#REF!="Mayor"),CONCATENATE("R7C",'Mapa final'!#REF!),"")</f>
        <v>#REF!</v>
      </c>
      <c r="AG52" s="58" t="e">
        <f>IF(AND('Mapa final'!#REF!="Muy Baja",'Mapa final'!#REF!="Mayor"),CONCATENATE("R7C",'Mapa final'!#REF!),"")</f>
        <v>#REF!</v>
      </c>
      <c r="AH52" s="59" t="e">
        <f>IF(AND('Mapa final'!#REF!="Muy Baja",'Mapa final'!#REF!="Catastrófico"),CONCATENATE("R7C",'Mapa final'!#REF!),"")</f>
        <v>#REF!</v>
      </c>
      <c r="AI52" s="60" t="e">
        <f>IF(AND('Mapa final'!#REF!="Muy Baja",'Mapa final'!#REF!="Catastrófico"),CONCATENATE("R7C",'Mapa final'!#REF!),"")</f>
        <v>#REF!</v>
      </c>
      <c r="AJ52" s="60" t="e">
        <f>IF(AND('Mapa final'!#REF!="Muy Baja",'Mapa final'!#REF!="Catastrófico"),CONCATENATE("R7C",'Mapa final'!#REF!),"")</f>
        <v>#REF!</v>
      </c>
      <c r="AK52" s="60" t="e">
        <f>IF(AND('Mapa final'!#REF!="Muy Baja",'Mapa final'!#REF!="Catastrófico"),CONCATENATE("R7C",'Mapa final'!#REF!),"")</f>
        <v>#REF!</v>
      </c>
      <c r="AL52" s="60" t="e">
        <f>IF(AND('Mapa final'!#REF!="Muy Baja",'Mapa final'!#REF!="Catastrófico"),CONCATENATE("R7C",'Mapa final'!#REF!),"")</f>
        <v>#REF!</v>
      </c>
      <c r="AM52" s="61" t="e">
        <f>IF(AND('Mapa final'!#REF!="Muy Baja",'Mapa final'!#REF!="Catastrófico"),CONCATENATE("R7C",'Mapa final'!#REF!),"")</f>
        <v>#REF!</v>
      </c>
      <c r="AN52" s="87"/>
      <c r="AO52" s="87"/>
      <c r="AP52" s="87"/>
      <c r="AQ52" s="87"/>
      <c r="AR52" s="87"/>
      <c r="AS52" s="87"/>
      <c r="AT52" s="87"/>
      <c r="AU52" s="87"/>
      <c r="AV52" s="87"/>
      <c r="AW52" s="87"/>
      <c r="AX52" s="87"/>
      <c r="AY52" s="87"/>
      <c r="AZ52" s="87"/>
      <c r="BA52" s="87"/>
      <c r="BB52" s="87"/>
      <c r="BC52" s="87"/>
      <c r="BD52" s="87"/>
      <c r="BE52" s="87"/>
      <c r="BF52" s="87"/>
      <c r="BG52" s="87"/>
      <c r="BH52" s="87"/>
      <c r="BI52" s="87"/>
      <c r="BJ52" s="87"/>
      <c r="BK52" s="87"/>
      <c r="BL52" s="87"/>
      <c r="BM52" s="87"/>
      <c r="BN52" s="87"/>
      <c r="BO52" s="87"/>
      <c r="BP52" s="87"/>
      <c r="BQ52" s="87"/>
      <c r="BR52" s="87"/>
      <c r="BS52" s="87"/>
      <c r="BT52" s="87"/>
      <c r="BU52" s="87"/>
      <c r="BV52" s="87"/>
      <c r="BW52" s="87"/>
      <c r="BX52" s="87"/>
      <c r="BY52" s="87"/>
      <c r="BZ52" s="87"/>
      <c r="CA52" s="87"/>
      <c r="CB52" s="87"/>
    </row>
    <row r="53" spans="1:80" ht="15" customHeight="1" x14ac:dyDescent="0.25">
      <c r="A53" s="87"/>
      <c r="B53" s="695"/>
      <c r="C53" s="695"/>
      <c r="D53" s="696"/>
      <c r="E53" s="794"/>
      <c r="F53" s="793"/>
      <c r="G53" s="793"/>
      <c r="H53" s="793"/>
      <c r="I53" s="809"/>
      <c r="J53" s="80" t="e">
        <f>IF(AND('Mapa final'!#REF!="Muy Baja",'Mapa final'!#REF!="Leve"),CONCATENATE("R8C",'Mapa final'!#REF!),"")</f>
        <v>#REF!</v>
      </c>
      <c r="K53" s="81" t="e">
        <f>IF(AND('Mapa final'!#REF!="Muy Baja",'Mapa final'!#REF!="Leve"),CONCATENATE("R8C",'Mapa final'!#REF!),"")</f>
        <v>#REF!</v>
      </c>
      <c r="L53" s="81" t="e">
        <f>IF(AND('Mapa final'!#REF!="Muy Baja",'Mapa final'!#REF!="Leve"),CONCATENATE("R8C",'Mapa final'!#REF!),"")</f>
        <v>#REF!</v>
      </c>
      <c r="M53" s="81" t="e">
        <f>IF(AND('Mapa final'!#REF!="Muy Baja",'Mapa final'!#REF!="Leve"),CONCATENATE("R8C",'Mapa final'!#REF!),"")</f>
        <v>#REF!</v>
      </c>
      <c r="N53" s="81" t="e">
        <f>IF(AND('Mapa final'!#REF!="Muy Baja",'Mapa final'!#REF!="Leve"),CONCATENATE("R8C",'Mapa final'!#REF!),"")</f>
        <v>#REF!</v>
      </c>
      <c r="O53" s="82" t="e">
        <f>IF(AND('Mapa final'!#REF!="Muy Baja",'Mapa final'!#REF!="Leve"),CONCATENATE("R8C",'Mapa final'!#REF!),"")</f>
        <v>#REF!</v>
      </c>
      <c r="P53" s="80" t="e">
        <f>IF(AND('Mapa final'!#REF!="Muy Baja",'Mapa final'!#REF!="Menor"),CONCATENATE("R8C",'Mapa final'!#REF!),"")</f>
        <v>#REF!</v>
      </c>
      <c r="Q53" s="81" t="e">
        <f>IF(AND('Mapa final'!#REF!="Muy Baja",'Mapa final'!#REF!="Menor"),CONCATENATE("R8C",'Mapa final'!#REF!),"")</f>
        <v>#REF!</v>
      </c>
      <c r="R53" s="81" t="e">
        <f>IF(AND('Mapa final'!#REF!="Muy Baja",'Mapa final'!#REF!="Menor"),CONCATENATE("R8C",'Mapa final'!#REF!),"")</f>
        <v>#REF!</v>
      </c>
      <c r="S53" s="81" t="e">
        <f>IF(AND('Mapa final'!#REF!="Muy Baja",'Mapa final'!#REF!="Menor"),CONCATENATE("R8C",'Mapa final'!#REF!),"")</f>
        <v>#REF!</v>
      </c>
      <c r="T53" s="81" t="e">
        <f>IF(AND('Mapa final'!#REF!="Muy Baja",'Mapa final'!#REF!="Menor"),CONCATENATE("R8C",'Mapa final'!#REF!),"")</f>
        <v>#REF!</v>
      </c>
      <c r="U53" s="82" t="e">
        <f>IF(AND('Mapa final'!#REF!="Muy Baja",'Mapa final'!#REF!="Menor"),CONCATENATE("R8C",'Mapa final'!#REF!),"")</f>
        <v>#REF!</v>
      </c>
      <c r="V53" s="71" t="e">
        <f>IF(AND('Mapa final'!#REF!="Muy Baja",'Mapa final'!#REF!="Moderado"),CONCATENATE("R8C",'Mapa final'!#REF!),"")</f>
        <v>#REF!</v>
      </c>
      <c r="W53" s="72" t="e">
        <f>IF(AND('Mapa final'!#REF!="Muy Baja",'Mapa final'!#REF!="Moderado"),CONCATENATE("R8C",'Mapa final'!#REF!),"")</f>
        <v>#REF!</v>
      </c>
      <c r="X53" s="72" t="e">
        <f>IF(AND('Mapa final'!#REF!="Muy Baja",'Mapa final'!#REF!="Moderado"),CONCATENATE("R8C",'Mapa final'!#REF!),"")</f>
        <v>#REF!</v>
      </c>
      <c r="Y53" s="72" t="e">
        <f>IF(AND('Mapa final'!#REF!="Muy Baja",'Mapa final'!#REF!="Moderado"),CONCATENATE("R8C",'Mapa final'!#REF!),"")</f>
        <v>#REF!</v>
      </c>
      <c r="Z53" s="72" t="e">
        <f>IF(AND('Mapa final'!#REF!="Muy Baja",'Mapa final'!#REF!="Moderado"),CONCATENATE("R8C",'Mapa final'!#REF!),"")</f>
        <v>#REF!</v>
      </c>
      <c r="AA53" s="73" t="e">
        <f>IF(AND('Mapa final'!#REF!="Muy Baja",'Mapa final'!#REF!="Moderado"),CONCATENATE("R8C",'Mapa final'!#REF!),"")</f>
        <v>#REF!</v>
      </c>
      <c r="AB53" s="56" t="e">
        <f>IF(AND('Mapa final'!#REF!="Muy Baja",'Mapa final'!#REF!="Mayor"),CONCATENATE("R8C",'Mapa final'!#REF!),"")</f>
        <v>#REF!</v>
      </c>
      <c r="AC53" s="57" t="e">
        <f>IF(AND('Mapa final'!#REF!="Muy Baja",'Mapa final'!#REF!="Mayor"),CONCATENATE("R8C",'Mapa final'!#REF!),"")</f>
        <v>#REF!</v>
      </c>
      <c r="AD53" s="57" t="e">
        <f>IF(AND('Mapa final'!#REF!="Muy Baja",'Mapa final'!#REF!="Mayor"),CONCATENATE("R8C",'Mapa final'!#REF!),"")</f>
        <v>#REF!</v>
      </c>
      <c r="AE53" s="57" t="e">
        <f>IF(AND('Mapa final'!#REF!="Muy Baja",'Mapa final'!#REF!="Mayor"),CONCATENATE("R8C",'Mapa final'!#REF!),"")</f>
        <v>#REF!</v>
      </c>
      <c r="AF53" s="57" t="e">
        <f>IF(AND('Mapa final'!#REF!="Muy Baja",'Mapa final'!#REF!="Mayor"),CONCATENATE("R8C",'Mapa final'!#REF!),"")</f>
        <v>#REF!</v>
      </c>
      <c r="AG53" s="58" t="e">
        <f>IF(AND('Mapa final'!#REF!="Muy Baja",'Mapa final'!#REF!="Mayor"),CONCATENATE("R8C",'Mapa final'!#REF!),"")</f>
        <v>#REF!</v>
      </c>
      <c r="AH53" s="59" t="e">
        <f>IF(AND('Mapa final'!#REF!="Muy Baja",'Mapa final'!#REF!="Catastrófico"),CONCATENATE("R8C",'Mapa final'!#REF!),"")</f>
        <v>#REF!</v>
      </c>
      <c r="AI53" s="60" t="e">
        <f>IF(AND('Mapa final'!#REF!="Muy Baja",'Mapa final'!#REF!="Catastrófico"),CONCATENATE("R8C",'Mapa final'!#REF!),"")</f>
        <v>#REF!</v>
      </c>
      <c r="AJ53" s="60" t="e">
        <f>IF(AND('Mapa final'!#REF!="Muy Baja",'Mapa final'!#REF!="Catastrófico"),CONCATENATE("R8C",'Mapa final'!#REF!),"")</f>
        <v>#REF!</v>
      </c>
      <c r="AK53" s="60" t="e">
        <f>IF(AND('Mapa final'!#REF!="Muy Baja",'Mapa final'!#REF!="Catastrófico"),CONCATENATE("R8C",'Mapa final'!#REF!),"")</f>
        <v>#REF!</v>
      </c>
      <c r="AL53" s="60" t="e">
        <f>IF(AND('Mapa final'!#REF!="Muy Baja",'Mapa final'!#REF!="Catastrófico"),CONCATENATE("R8C",'Mapa final'!#REF!),"")</f>
        <v>#REF!</v>
      </c>
      <c r="AM53" s="61" t="e">
        <f>IF(AND('Mapa final'!#REF!="Muy Baja",'Mapa final'!#REF!="Catastrófico"),CONCATENATE("R8C",'Mapa final'!#REF!),"")</f>
        <v>#REF!</v>
      </c>
      <c r="AN53" s="87"/>
      <c r="AO53" s="87"/>
      <c r="AP53" s="87"/>
      <c r="AQ53" s="87"/>
      <c r="AR53" s="87"/>
      <c r="AS53" s="87"/>
      <c r="AT53" s="87"/>
      <c r="AU53" s="87"/>
      <c r="AV53" s="87"/>
      <c r="AW53" s="87"/>
      <c r="AX53" s="87"/>
      <c r="AY53" s="87"/>
      <c r="AZ53" s="87"/>
      <c r="BA53" s="87"/>
      <c r="BB53" s="87"/>
      <c r="BC53" s="87"/>
      <c r="BD53" s="87"/>
      <c r="BE53" s="87"/>
      <c r="BF53" s="87"/>
      <c r="BG53" s="87"/>
      <c r="BH53" s="87"/>
      <c r="BI53" s="87"/>
      <c r="BJ53" s="87"/>
      <c r="BK53" s="87"/>
      <c r="BL53" s="87"/>
      <c r="BM53" s="87"/>
      <c r="BN53" s="87"/>
      <c r="BO53" s="87"/>
      <c r="BP53" s="87"/>
      <c r="BQ53" s="87"/>
      <c r="BR53" s="87"/>
      <c r="BS53" s="87"/>
      <c r="BT53" s="87"/>
      <c r="BU53" s="87"/>
      <c r="BV53" s="87"/>
      <c r="BW53" s="87"/>
      <c r="BX53" s="87"/>
      <c r="BY53" s="87"/>
      <c r="BZ53" s="87"/>
      <c r="CA53" s="87"/>
      <c r="CB53" s="87"/>
    </row>
    <row r="54" spans="1:80" ht="15" customHeight="1" x14ac:dyDescent="0.25">
      <c r="A54" s="87"/>
      <c r="B54" s="695"/>
      <c r="C54" s="695"/>
      <c r="D54" s="696"/>
      <c r="E54" s="794"/>
      <c r="F54" s="793"/>
      <c r="G54" s="793"/>
      <c r="H54" s="793"/>
      <c r="I54" s="809"/>
      <c r="J54" s="80" t="e">
        <f>IF(AND('Mapa final'!#REF!="Muy Baja",'Mapa final'!#REF!="Leve"),CONCATENATE("R9C",'Mapa final'!#REF!),"")</f>
        <v>#REF!</v>
      </c>
      <c r="K54" s="81" t="e">
        <f>IF(AND('Mapa final'!#REF!="Muy Baja",'Mapa final'!#REF!="Leve"),CONCATENATE("R9C",'Mapa final'!#REF!),"")</f>
        <v>#REF!</v>
      </c>
      <c r="L54" s="81" t="e">
        <f>IF(AND('Mapa final'!#REF!="Muy Baja",'Mapa final'!#REF!="Leve"),CONCATENATE("R9C",'Mapa final'!#REF!),"")</f>
        <v>#REF!</v>
      </c>
      <c r="M54" s="81" t="e">
        <f>IF(AND('Mapa final'!#REF!="Muy Baja",'Mapa final'!#REF!="Leve"),CONCATENATE("R9C",'Mapa final'!#REF!),"")</f>
        <v>#REF!</v>
      </c>
      <c r="N54" s="81" t="e">
        <f>IF(AND('Mapa final'!#REF!="Muy Baja",'Mapa final'!#REF!="Leve"),CONCATENATE("R9C",'Mapa final'!#REF!),"")</f>
        <v>#REF!</v>
      </c>
      <c r="O54" s="82" t="e">
        <f>IF(AND('Mapa final'!#REF!="Muy Baja",'Mapa final'!#REF!="Leve"),CONCATENATE("R9C",'Mapa final'!#REF!),"")</f>
        <v>#REF!</v>
      </c>
      <c r="P54" s="80" t="e">
        <f>IF(AND('Mapa final'!#REF!="Muy Baja",'Mapa final'!#REF!="Menor"),CONCATENATE("R9C",'Mapa final'!#REF!),"")</f>
        <v>#REF!</v>
      </c>
      <c r="Q54" s="81" t="e">
        <f>IF(AND('Mapa final'!#REF!="Muy Baja",'Mapa final'!#REF!="Menor"),CONCATENATE("R9C",'Mapa final'!#REF!),"")</f>
        <v>#REF!</v>
      </c>
      <c r="R54" s="81" t="e">
        <f>IF(AND('Mapa final'!#REF!="Muy Baja",'Mapa final'!#REF!="Menor"),CONCATENATE("R9C",'Mapa final'!#REF!),"")</f>
        <v>#REF!</v>
      </c>
      <c r="S54" s="81" t="e">
        <f>IF(AND('Mapa final'!#REF!="Muy Baja",'Mapa final'!#REF!="Menor"),CONCATENATE("R9C",'Mapa final'!#REF!),"")</f>
        <v>#REF!</v>
      </c>
      <c r="T54" s="81" t="e">
        <f>IF(AND('Mapa final'!#REF!="Muy Baja",'Mapa final'!#REF!="Menor"),CONCATENATE("R9C",'Mapa final'!#REF!),"")</f>
        <v>#REF!</v>
      </c>
      <c r="U54" s="82" t="e">
        <f>IF(AND('Mapa final'!#REF!="Muy Baja",'Mapa final'!#REF!="Menor"),CONCATENATE("R9C",'Mapa final'!#REF!),"")</f>
        <v>#REF!</v>
      </c>
      <c r="V54" s="71" t="e">
        <f>IF(AND('Mapa final'!#REF!="Muy Baja",'Mapa final'!#REF!="Moderado"),CONCATENATE("R9C",'Mapa final'!#REF!),"")</f>
        <v>#REF!</v>
      </c>
      <c r="W54" s="72" t="e">
        <f>IF(AND('Mapa final'!#REF!="Muy Baja",'Mapa final'!#REF!="Moderado"),CONCATENATE("R9C",'Mapa final'!#REF!),"")</f>
        <v>#REF!</v>
      </c>
      <c r="X54" s="72" t="e">
        <f>IF(AND('Mapa final'!#REF!="Muy Baja",'Mapa final'!#REF!="Moderado"),CONCATENATE("R9C",'Mapa final'!#REF!),"")</f>
        <v>#REF!</v>
      </c>
      <c r="Y54" s="72" t="e">
        <f>IF(AND('Mapa final'!#REF!="Muy Baja",'Mapa final'!#REF!="Moderado"),CONCATENATE("R9C",'Mapa final'!#REF!),"")</f>
        <v>#REF!</v>
      </c>
      <c r="Z54" s="72" t="e">
        <f>IF(AND('Mapa final'!#REF!="Muy Baja",'Mapa final'!#REF!="Moderado"),CONCATENATE("R9C",'Mapa final'!#REF!),"")</f>
        <v>#REF!</v>
      </c>
      <c r="AA54" s="73" t="e">
        <f>IF(AND('Mapa final'!#REF!="Muy Baja",'Mapa final'!#REF!="Moderado"),CONCATENATE("R9C",'Mapa final'!#REF!),"")</f>
        <v>#REF!</v>
      </c>
      <c r="AB54" s="56" t="e">
        <f>IF(AND('Mapa final'!#REF!="Muy Baja",'Mapa final'!#REF!="Mayor"),CONCATENATE("R9C",'Mapa final'!#REF!),"")</f>
        <v>#REF!</v>
      </c>
      <c r="AC54" s="57" t="e">
        <f>IF(AND('Mapa final'!#REF!="Muy Baja",'Mapa final'!#REF!="Mayor"),CONCATENATE("R9C",'Mapa final'!#REF!),"")</f>
        <v>#REF!</v>
      </c>
      <c r="AD54" s="57" t="e">
        <f>IF(AND('Mapa final'!#REF!="Muy Baja",'Mapa final'!#REF!="Mayor"),CONCATENATE("R9C",'Mapa final'!#REF!),"")</f>
        <v>#REF!</v>
      </c>
      <c r="AE54" s="57" t="e">
        <f>IF(AND('Mapa final'!#REF!="Muy Baja",'Mapa final'!#REF!="Mayor"),CONCATENATE("R9C",'Mapa final'!#REF!),"")</f>
        <v>#REF!</v>
      </c>
      <c r="AF54" s="57" t="e">
        <f>IF(AND('Mapa final'!#REF!="Muy Baja",'Mapa final'!#REF!="Mayor"),CONCATENATE("R9C",'Mapa final'!#REF!),"")</f>
        <v>#REF!</v>
      </c>
      <c r="AG54" s="58" t="e">
        <f>IF(AND('Mapa final'!#REF!="Muy Baja",'Mapa final'!#REF!="Mayor"),CONCATENATE("R9C",'Mapa final'!#REF!),"")</f>
        <v>#REF!</v>
      </c>
      <c r="AH54" s="59" t="e">
        <f>IF(AND('Mapa final'!#REF!="Muy Baja",'Mapa final'!#REF!="Catastrófico"),CONCATENATE("R9C",'Mapa final'!#REF!),"")</f>
        <v>#REF!</v>
      </c>
      <c r="AI54" s="60" t="e">
        <f>IF(AND('Mapa final'!#REF!="Muy Baja",'Mapa final'!#REF!="Catastrófico"),CONCATENATE("R9C",'Mapa final'!#REF!),"")</f>
        <v>#REF!</v>
      </c>
      <c r="AJ54" s="60" t="e">
        <f>IF(AND('Mapa final'!#REF!="Muy Baja",'Mapa final'!#REF!="Catastrófico"),CONCATENATE("R9C",'Mapa final'!#REF!),"")</f>
        <v>#REF!</v>
      </c>
      <c r="AK54" s="60" t="e">
        <f>IF(AND('Mapa final'!#REF!="Muy Baja",'Mapa final'!#REF!="Catastrófico"),CONCATENATE("R9C",'Mapa final'!#REF!),"")</f>
        <v>#REF!</v>
      </c>
      <c r="AL54" s="60" t="e">
        <f>IF(AND('Mapa final'!#REF!="Muy Baja",'Mapa final'!#REF!="Catastrófico"),CONCATENATE("R9C",'Mapa final'!#REF!),"")</f>
        <v>#REF!</v>
      </c>
      <c r="AM54" s="61" t="e">
        <f>IF(AND('Mapa final'!#REF!="Muy Baja",'Mapa final'!#REF!="Catastrófico"),CONCATENATE("R9C",'Mapa final'!#REF!),"")</f>
        <v>#REF!</v>
      </c>
      <c r="AN54" s="87"/>
      <c r="AO54" s="87"/>
      <c r="AP54" s="87"/>
      <c r="AQ54" s="87"/>
      <c r="AR54" s="87"/>
      <c r="AS54" s="87"/>
      <c r="AT54" s="87"/>
      <c r="AU54" s="87"/>
      <c r="AV54" s="87"/>
      <c r="AW54" s="87"/>
      <c r="AX54" s="87"/>
      <c r="AY54" s="87"/>
      <c r="AZ54" s="87"/>
      <c r="BA54" s="87"/>
      <c r="BB54" s="87"/>
      <c r="BC54" s="87"/>
      <c r="BD54" s="87"/>
      <c r="BE54" s="87"/>
      <c r="BF54" s="87"/>
      <c r="BG54" s="87"/>
      <c r="BH54" s="87"/>
      <c r="BI54" s="87"/>
      <c r="BJ54" s="87"/>
      <c r="BK54" s="87"/>
      <c r="BL54" s="87"/>
      <c r="BM54" s="87"/>
      <c r="BN54" s="87"/>
      <c r="BO54" s="87"/>
      <c r="BP54" s="87"/>
      <c r="BQ54" s="87"/>
      <c r="BR54" s="87"/>
      <c r="BS54" s="87"/>
      <c r="BT54" s="87"/>
      <c r="BU54" s="87"/>
      <c r="BV54" s="87"/>
      <c r="BW54" s="87"/>
      <c r="BX54" s="87"/>
      <c r="BY54" s="87"/>
      <c r="BZ54" s="87"/>
      <c r="CA54" s="87"/>
      <c r="CB54" s="87"/>
    </row>
    <row r="55" spans="1:80" ht="15.75" customHeight="1" thickBot="1" x14ac:dyDescent="0.3">
      <c r="A55" s="87"/>
      <c r="B55" s="695"/>
      <c r="C55" s="695"/>
      <c r="D55" s="696"/>
      <c r="E55" s="795"/>
      <c r="F55" s="796"/>
      <c r="G55" s="796"/>
      <c r="H55" s="796"/>
      <c r="I55" s="810"/>
      <c r="J55" s="83" t="e">
        <f>IF(AND('Mapa final'!#REF!="Muy Baja",'Mapa final'!#REF!="Leve"),CONCATENATE("R10C",'Mapa final'!#REF!),"")</f>
        <v>#REF!</v>
      </c>
      <c r="K55" s="84" t="e">
        <f>IF(AND('Mapa final'!#REF!="Muy Baja",'Mapa final'!#REF!="Leve"),CONCATENATE("R10C",'Mapa final'!#REF!),"")</f>
        <v>#REF!</v>
      </c>
      <c r="L55" s="84" t="e">
        <f>IF(AND('Mapa final'!#REF!="Muy Baja",'Mapa final'!#REF!="Leve"),CONCATENATE("R10C",'Mapa final'!#REF!),"")</f>
        <v>#REF!</v>
      </c>
      <c r="M55" s="84" t="e">
        <f>IF(AND('Mapa final'!#REF!="Muy Baja",'Mapa final'!#REF!="Leve"),CONCATENATE("R10C",'Mapa final'!#REF!),"")</f>
        <v>#REF!</v>
      </c>
      <c r="N55" s="84" t="e">
        <f>IF(AND('Mapa final'!#REF!="Muy Baja",'Mapa final'!#REF!="Leve"),CONCATENATE("R10C",'Mapa final'!#REF!),"")</f>
        <v>#REF!</v>
      </c>
      <c r="O55" s="85" t="e">
        <f>IF(AND('Mapa final'!#REF!="Muy Baja",'Mapa final'!#REF!="Leve"),CONCATENATE("R10C",'Mapa final'!#REF!),"")</f>
        <v>#REF!</v>
      </c>
      <c r="P55" s="83" t="e">
        <f>IF(AND('Mapa final'!#REF!="Muy Baja",'Mapa final'!#REF!="Menor"),CONCATENATE("R10C",'Mapa final'!#REF!),"")</f>
        <v>#REF!</v>
      </c>
      <c r="Q55" s="84" t="e">
        <f>IF(AND('Mapa final'!#REF!="Muy Baja",'Mapa final'!#REF!="Menor"),CONCATENATE("R10C",'Mapa final'!#REF!),"")</f>
        <v>#REF!</v>
      </c>
      <c r="R55" s="84" t="e">
        <f>IF(AND('Mapa final'!#REF!="Muy Baja",'Mapa final'!#REF!="Menor"),CONCATENATE("R10C",'Mapa final'!#REF!),"")</f>
        <v>#REF!</v>
      </c>
      <c r="S55" s="84" t="e">
        <f>IF(AND('Mapa final'!#REF!="Muy Baja",'Mapa final'!#REF!="Menor"),CONCATENATE("R10C",'Mapa final'!#REF!),"")</f>
        <v>#REF!</v>
      </c>
      <c r="T55" s="84" t="e">
        <f>IF(AND('Mapa final'!#REF!="Muy Baja",'Mapa final'!#REF!="Menor"),CONCATENATE("R10C",'Mapa final'!#REF!),"")</f>
        <v>#REF!</v>
      </c>
      <c r="U55" s="85" t="e">
        <f>IF(AND('Mapa final'!#REF!="Muy Baja",'Mapa final'!#REF!="Menor"),CONCATENATE("R10C",'Mapa final'!#REF!),"")</f>
        <v>#REF!</v>
      </c>
      <c r="V55" s="74" t="e">
        <f>IF(AND('Mapa final'!#REF!="Muy Baja",'Mapa final'!#REF!="Moderado"),CONCATENATE("R10C",'Mapa final'!#REF!),"")</f>
        <v>#REF!</v>
      </c>
      <c r="W55" s="75" t="e">
        <f>IF(AND('Mapa final'!#REF!="Muy Baja",'Mapa final'!#REF!="Moderado"),CONCATENATE("R10C",'Mapa final'!#REF!),"")</f>
        <v>#REF!</v>
      </c>
      <c r="X55" s="75" t="e">
        <f>IF(AND('Mapa final'!#REF!="Muy Baja",'Mapa final'!#REF!="Moderado"),CONCATENATE("R10C",'Mapa final'!#REF!),"")</f>
        <v>#REF!</v>
      </c>
      <c r="Y55" s="75" t="e">
        <f>IF(AND('Mapa final'!#REF!="Muy Baja",'Mapa final'!#REF!="Moderado"),CONCATENATE("R10C",'Mapa final'!#REF!),"")</f>
        <v>#REF!</v>
      </c>
      <c r="Z55" s="75" t="e">
        <f>IF(AND('Mapa final'!#REF!="Muy Baja",'Mapa final'!#REF!="Moderado"),CONCATENATE("R10C",'Mapa final'!#REF!),"")</f>
        <v>#REF!</v>
      </c>
      <c r="AA55" s="76" t="e">
        <f>IF(AND('Mapa final'!#REF!="Muy Baja",'Mapa final'!#REF!="Moderado"),CONCATENATE("R10C",'Mapa final'!#REF!),"")</f>
        <v>#REF!</v>
      </c>
      <c r="AB55" s="62" t="e">
        <f>IF(AND('Mapa final'!#REF!="Muy Baja",'Mapa final'!#REF!="Mayor"),CONCATENATE("R10C",'Mapa final'!#REF!),"")</f>
        <v>#REF!</v>
      </c>
      <c r="AC55" s="63" t="e">
        <f>IF(AND('Mapa final'!#REF!="Muy Baja",'Mapa final'!#REF!="Mayor"),CONCATENATE("R10C",'Mapa final'!#REF!),"")</f>
        <v>#REF!</v>
      </c>
      <c r="AD55" s="63" t="e">
        <f>IF(AND('Mapa final'!#REF!="Muy Baja",'Mapa final'!#REF!="Mayor"),CONCATENATE("R10C",'Mapa final'!#REF!),"")</f>
        <v>#REF!</v>
      </c>
      <c r="AE55" s="63" t="e">
        <f>IF(AND('Mapa final'!#REF!="Muy Baja",'Mapa final'!#REF!="Mayor"),CONCATENATE("R10C",'Mapa final'!#REF!),"")</f>
        <v>#REF!</v>
      </c>
      <c r="AF55" s="63" t="e">
        <f>IF(AND('Mapa final'!#REF!="Muy Baja",'Mapa final'!#REF!="Mayor"),CONCATENATE("R10C",'Mapa final'!#REF!),"")</f>
        <v>#REF!</v>
      </c>
      <c r="AG55" s="64" t="e">
        <f>IF(AND('Mapa final'!#REF!="Muy Baja",'Mapa final'!#REF!="Mayor"),CONCATENATE("R10C",'Mapa final'!#REF!),"")</f>
        <v>#REF!</v>
      </c>
      <c r="AH55" s="65" t="e">
        <f>IF(AND('Mapa final'!#REF!="Muy Baja",'Mapa final'!#REF!="Catastrófico"),CONCATENATE("R10C",'Mapa final'!#REF!),"")</f>
        <v>#REF!</v>
      </c>
      <c r="AI55" s="66" t="e">
        <f>IF(AND('Mapa final'!#REF!="Muy Baja",'Mapa final'!#REF!="Catastrófico"),CONCATENATE("R10C",'Mapa final'!#REF!),"")</f>
        <v>#REF!</v>
      </c>
      <c r="AJ55" s="66" t="e">
        <f>IF(AND('Mapa final'!#REF!="Muy Baja",'Mapa final'!#REF!="Catastrófico"),CONCATENATE("R10C",'Mapa final'!#REF!),"")</f>
        <v>#REF!</v>
      </c>
      <c r="AK55" s="66" t="e">
        <f>IF(AND('Mapa final'!#REF!="Muy Baja",'Mapa final'!#REF!="Catastrófico"),CONCATENATE("R10C",'Mapa final'!#REF!),"")</f>
        <v>#REF!</v>
      </c>
      <c r="AL55" s="66" t="e">
        <f>IF(AND('Mapa final'!#REF!="Muy Baja",'Mapa final'!#REF!="Catastrófico"),CONCATENATE("R10C",'Mapa final'!#REF!),"")</f>
        <v>#REF!</v>
      </c>
      <c r="AM55" s="67" t="e">
        <f>IF(AND('Mapa final'!#REF!="Muy Baja",'Mapa final'!#REF!="Catastrófico"),CONCATENATE("R10C",'Mapa final'!#REF!),"")</f>
        <v>#REF!</v>
      </c>
      <c r="AN55" s="87"/>
      <c r="AO55" s="87"/>
      <c r="AP55" s="87"/>
      <c r="AQ55" s="87"/>
      <c r="AR55" s="87"/>
      <c r="AS55" s="87"/>
      <c r="AT55" s="87"/>
      <c r="AU55" s="87"/>
      <c r="AV55" s="87"/>
      <c r="AW55" s="87"/>
      <c r="AX55" s="87"/>
      <c r="AY55" s="87"/>
      <c r="AZ55" s="87"/>
      <c r="BA55" s="87"/>
      <c r="BB55" s="87"/>
      <c r="BC55" s="87"/>
      <c r="BD55" s="87"/>
      <c r="BE55" s="87"/>
      <c r="BF55" s="87"/>
      <c r="BG55" s="87"/>
      <c r="BH55" s="87"/>
      <c r="BI55" s="87"/>
      <c r="BJ55" s="87"/>
      <c r="BK55" s="87"/>
      <c r="BL55" s="87"/>
      <c r="BM55" s="87"/>
      <c r="BN55" s="87"/>
      <c r="BO55" s="87"/>
      <c r="BP55" s="87"/>
      <c r="BQ55" s="87"/>
      <c r="BR55" s="87"/>
      <c r="BS55" s="87"/>
      <c r="BT55" s="87"/>
      <c r="BU55" s="87"/>
      <c r="BV55" s="87"/>
      <c r="BW55" s="87"/>
      <c r="BX55" s="87"/>
      <c r="BY55" s="87"/>
      <c r="BZ55" s="87"/>
      <c r="CA55" s="87"/>
      <c r="CB55" s="87"/>
    </row>
    <row r="56" spans="1:80" x14ac:dyDescent="0.25">
      <c r="A56" s="87"/>
      <c r="B56" s="87"/>
      <c r="C56" s="87"/>
      <c r="D56" s="87"/>
      <c r="E56" s="87"/>
      <c r="F56" s="87"/>
      <c r="G56" s="87"/>
      <c r="H56" s="87"/>
      <c r="I56" s="87"/>
      <c r="J56" s="790" t="s">
        <v>468</v>
      </c>
      <c r="K56" s="791"/>
      <c r="L56" s="791"/>
      <c r="M56" s="791"/>
      <c r="N56" s="791"/>
      <c r="O56" s="808"/>
      <c r="P56" s="790" t="s">
        <v>469</v>
      </c>
      <c r="Q56" s="791"/>
      <c r="R56" s="791"/>
      <c r="S56" s="791"/>
      <c r="T56" s="791"/>
      <c r="U56" s="808"/>
      <c r="V56" s="790" t="s">
        <v>470</v>
      </c>
      <c r="W56" s="791"/>
      <c r="X56" s="791"/>
      <c r="Y56" s="791"/>
      <c r="Z56" s="791"/>
      <c r="AA56" s="808"/>
      <c r="AB56" s="790" t="s">
        <v>471</v>
      </c>
      <c r="AC56" s="829"/>
      <c r="AD56" s="791"/>
      <c r="AE56" s="791"/>
      <c r="AF56" s="791"/>
      <c r="AG56" s="808"/>
      <c r="AH56" s="790" t="s">
        <v>472</v>
      </c>
      <c r="AI56" s="791"/>
      <c r="AJ56" s="791"/>
      <c r="AK56" s="791"/>
      <c r="AL56" s="791"/>
      <c r="AM56" s="808"/>
      <c r="AN56" s="87"/>
      <c r="AO56" s="87"/>
      <c r="AP56" s="87"/>
      <c r="AQ56" s="87"/>
      <c r="AR56" s="87"/>
      <c r="AS56" s="87"/>
      <c r="AT56" s="87"/>
      <c r="AU56" s="87"/>
      <c r="AV56" s="87"/>
      <c r="AW56" s="87"/>
      <c r="AX56" s="87"/>
      <c r="AY56" s="87"/>
      <c r="AZ56" s="87"/>
      <c r="BA56" s="87"/>
      <c r="BB56" s="87"/>
      <c r="BC56" s="87"/>
      <c r="BD56" s="87"/>
      <c r="BE56" s="87"/>
      <c r="BF56" s="87"/>
      <c r="BG56" s="87"/>
      <c r="BH56" s="87"/>
      <c r="BI56" s="87"/>
      <c r="BJ56" s="87"/>
      <c r="BK56" s="87"/>
      <c r="BL56" s="87"/>
      <c r="BM56" s="87"/>
      <c r="BN56" s="87"/>
      <c r="BO56" s="87"/>
      <c r="BP56" s="87"/>
      <c r="BQ56" s="87"/>
      <c r="BR56" s="87"/>
      <c r="BS56" s="87"/>
      <c r="BT56" s="87"/>
      <c r="BU56" s="87"/>
      <c r="BV56" s="87"/>
      <c r="BW56" s="87"/>
      <c r="BX56" s="87"/>
      <c r="BY56" s="87"/>
      <c r="BZ56" s="87"/>
      <c r="CA56" s="87"/>
      <c r="CB56" s="87"/>
    </row>
    <row r="57" spans="1:80" x14ac:dyDescent="0.25">
      <c r="A57" s="87"/>
      <c r="B57" s="87"/>
      <c r="C57" s="87"/>
      <c r="D57" s="87"/>
      <c r="E57" s="87"/>
      <c r="F57" s="87"/>
      <c r="G57" s="87"/>
      <c r="H57" s="87"/>
      <c r="I57" s="87"/>
      <c r="J57" s="794"/>
      <c r="K57" s="793"/>
      <c r="L57" s="793"/>
      <c r="M57" s="793"/>
      <c r="N57" s="793"/>
      <c r="O57" s="809"/>
      <c r="P57" s="794"/>
      <c r="Q57" s="793"/>
      <c r="R57" s="793"/>
      <c r="S57" s="793"/>
      <c r="T57" s="793"/>
      <c r="U57" s="809"/>
      <c r="V57" s="794"/>
      <c r="W57" s="793"/>
      <c r="X57" s="793"/>
      <c r="Y57" s="793"/>
      <c r="Z57" s="793"/>
      <c r="AA57" s="809"/>
      <c r="AB57" s="794"/>
      <c r="AC57" s="793"/>
      <c r="AD57" s="793"/>
      <c r="AE57" s="793"/>
      <c r="AF57" s="793"/>
      <c r="AG57" s="809"/>
      <c r="AH57" s="794"/>
      <c r="AI57" s="793"/>
      <c r="AJ57" s="793"/>
      <c r="AK57" s="793"/>
      <c r="AL57" s="793"/>
      <c r="AM57" s="809"/>
      <c r="AN57" s="87"/>
      <c r="AO57" s="87"/>
      <c r="AP57" s="87"/>
      <c r="AQ57" s="87"/>
      <c r="AR57" s="87"/>
      <c r="AS57" s="87"/>
      <c r="AT57" s="87"/>
      <c r="AU57" s="87"/>
      <c r="AV57" s="87"/>
      <c r="AW57" s="87"/>
      <c r="AX57" s="87"/>
      <c r="AY57" s="87"/>
      <c r="AZ57" s="87"/>
      <c r="BA57" s="87"/>
      <c r="BB57" s="87"/>
      <c r="BC57" s="87"/>
      <c r="BD57" s="87"/>
      <c r="BE57" s="87"/>
      <c r="BF57" s="87"/>
      <c r="BG57" s="87"/>
      <c r="BH57" s="87"/>
      <c r="BI57" s="87"/>
      <c r="BJ57" s="87"/>
      <c r="BK57" s="87"/>
      <c r="BL57" s="87"/>
      <c r="BM57" s="87"/>
      <c r="BN57" s="87"/>
      <c r="BO57" s="87"/>
      <c r="BP57" s="87"/>
      <c r="BQ57" s="87"/>
      <c r="BR57" s="87"/>
      <c r="BS57" s="87"/>
      <c r="BT57" s="87"/>
      <c r="BU57" s="87"/>
      <c r="BV57" s="87"/>
      <c r="BW57" s="87"/>
      <c r="BX57" s="87"/>
      <c r="BY57" s="87"/>
      <c r="BZ57" s="87"/>
      <c r="CA57" s="87"/>
      <c r="CB57" s="87"/>
    </row>
    <row r="58" spans="1:80" x14ac:dyDescent="0.25">
      <c r="A58" s="87"/>
      <c r="B58" s="87"/>
      <c r="C58" s="87"/>
      <c r="D58" s="87"/>
      <c r="E58" s="87"/>
      <c r="F58" s="87"/>
      <c r="G58" s="87"/>
      <c r="H58" s="87"/>
      <c r="I58" s="87"/>
      <c r="J58" s="794"/>
      <c r="K58" s="793"/>
      <c r="L58" s="793"/>
      <c r="M58" s="793"/>
      <c r="N58" s="793"/>
      <c r="O58" s="809"/>
      <c r="P58" s="794"/>
      <c r="Q58" s="793"/>
      <c r="R58" s="793"/>
      <c r="S58" s="793"/>
      <c r="T58" s="793"/>
      <c r="U58" s="809"/>
      <c r="V58" s="794"/>
      <c r="W58" s="793"/>
      <c r="X58" s="793"/>
      <c r="Y58" s="793"/>
      <c r="Z58" s="793"/>
      <c r="AA58" s="809"/>
      <c r="AB58" s="794"/>
      <c r="AC58" s="793"/>
      <c r="AD58" s="793"/>
      <c r="AE58" s="793"/>
      <c r="AF58" s="793"/>
      <c r="AG58" s="809"/>
      <c r="AH58" s="794"/>
      <c r="AI58" s="793"/>
      <c r="AJ58" s="793"/>
      <c r="AK58" s="793"/>
      <c r="AL58" s="793"/>
      <c r="AM58" s="809"/>
      <c r="AN58" s="87"/>
      <c r="AO58" s="87"/>
      <c r="AP58" s="87"/>
      <c r="AQ58" s="87"/>
      <c r="AR58" s="87"/>
      <c r="AS58" s="87"/>
      <c r="AT58" s="87"/>
      <c r="AU58" s="87"/>
      <c r="AV58" s="87"/>
      <c r="AW58" s="87"/>
      <c r="AX58" s="87"/>
      <c r="AY58" s="87"/>
      <c r="AZ58" s="87"/>
      <c r="BA58" s="87"/>
      <c r="BB58" s="87"/>
      <c r="BC58" s="87"/>
      <c r="BD58" s="87"/>
      <c r="BE58" s="87"/>
      <c r="BF58" s="87"/>
      <c r="BG58" s="87"/>
      <c r="BH58" s="87"/>
      <c r="BI58" s="87"/>
      <c r="BJ58" s="87"/>
      <c r="BK58" s="87"/>
      <c r="BL58" s="87"/>
      <c r="BM58" s="87"/>
      <c r="BN58" s="87"/>
      <c r="BO58" s="87"/>
      <c r="BP58" s="87"/>
      <c r="BQ58" s="87"/>
      <c r="BR58" s="87"/>
      <c r="BS58" s="87"/>
      <c r="BT58" s="87"/>
      <c r="BU58" s="87"/>
      <c r="BV58" s="87"/>
      <c r="BW58" s="87"/>
      <c r="BX58" s="87"/>
      <c r="BY58" s="87"/>
      <c r="BZ58" s="87"/>
      <c r="CA58" s="87"/>
      <c r="CB58" s="87"/>
    </row>
    <row r="59" spans="1:80" x14ac:dyDescent="0.25">
      <c r="A59" s="87"/>
      <c r="B59" s="87"/>
      <c r="C59" s="87"/>
      <c r="D59" s="87"/>
      <c r="E59" s="87"/>
      <c r="F59" s="87"/>
      <c r="G59" s="87"/>
      <c r="H59" s="87"/>
      <c r="I59" s="87"/>
      <c r="J59" s="794"/>
      <c r="K59" s="793"/>
      <c r="L59" s="793"/>
      <c r="M59" s="793"/>
      <c r="N59" s="793"/>
      <c r="O59" s="809"/>
      <c r="P59" s="794"/>
      <c r="Q59" s="793"/>
      <c r="R59" s="793"/>
      <c r="S59" s="793"/>
      <c r="T59" s="793"/>
      <c r="U59" s="809"/>
      <c r="V59" s="794"/>
      <c r="W59" s="793"/>
      <c r="X59" s="793"/>
      <c r="Y59" s="793"/>
      <c r="Z59" s="793"/>
      <c r="AA59" s="809"/>
      <c r="AB59" s="794"/>
      <c r="AC59" s="793"/>
      <c r="AD59" s="793"/>
      <c r="AE59" s="793"/>
      <c r="AF59" s="793"/>
      <c r="AG59" s="809"/>
      <c r="AH59" s="794"/>
      <c r="AI59" s="793"/>
      <c r="AJ59" s="793"/>
      <c r="AK59" s="793"/>
      <c r="AL59" s="793"/>
      <c r="AM59" s="809"/>
      <c r="AN59" s="87"/>
      <c r="AO59" s="87"/>
      <c r="AP59" s="87"/>
      <c r="AQ59" s="87"/>
      <c r="AR59" s="87"/>
      <c r="AS59" s="87"/>
      <c r="AT59" s="87"/>
      <c r="AU59" s="87"/>
      <c r="AV59" s="87"/>
      <c r="AW59" s="87"/>
      <c r="AX59" s="87"/>
      <c r="AY59" s="87"/>
      <c r="AZ59" s="87"/>
      <c r="BA59" s="87"/>
      <c r="BB59" s="87"/>
      <c r="BC59" s="87"/>
      <c r="BD59" s="87"/>
      <c r="BE59" s="87"/>
      <c r="BF59" s="87"/>
      <c r="BG59" s="87"/>
      <c r="BH59" s="87"/>
      <c r="BI59" s="87"/>
      <c r="BJ59" s="87"/>
      <c r="BK59" s="87"/>
      <c r="BL59" s="87"/>
      <c r="BM59" s="87"/>
      <c r="BN59" s="87"/>
      <c r="BO59" s="87"/>
      <c r="BP59" s="87"/>
      <c r="BQ59" s="87"/>
      <c r="BR59" s="87"/>
      <c r="BS59" s="87"/>
      <c r="BT59" s="87"/>
      <c r="BU59" s="87"/>
      <c r="BV59" s="87"/>
      <c r="BW59" s="87"/>
      <c r="BX59" s="87"/>
      <c r="BY59" s="87"/>
      <c r="BZ59" s="87"/>
      <c r="CA59" s="87"/>
      <c r="CB59" s="87"/>
    </row>
    <row r="60" spans="1:80" x14ac:dyDescent="0.25">
      <c r="A60" s="87"/>
      <c r="B60" s="87"/>
      <c r="C60" s="87"/>
      <c r="D60" s="87"/>
      <c r="E60" s="87"/>
      <c r="F60" s="87"/>
      <c r="G60" s="87"/>
      <c r="H60" s="87"/>
      <c r="I60" s="87"/>
      <c r="J60" s="794"/>
      <c r="K60" s="793"/>
      <c r="L60" s="793"/>
      <c r="M60" s="793"/>
      <c r="N60" s="793"/>
      <c r="O60" s="809"/>
      <c r="P60" s="794"/>
      <c r="Q60" s="793"/>
      <c r="R60" s="793"/>
      <c r="S60" s="793"/>
      <c r="T60" s="793"/>
      <c r="U60" s="809"/>
      <c r="V60" s="794"/>
      <c r="W60" s="793"/>
      <c r="X60" s="793"/>
      <c r="Y60" s="793"/>
      <c r="Z60" s="793"/>
      <c r="AA60" s="809"/>
      <c r="AB60" s="794"/>
      <c r="AC60" s="793"/>
      <c r="AD60" s="793"/>
      <c r="AE60" s="793"/>
      <c r="AF60" s="793"/>
      <c r="AG60" s="809"/>
      <c r="AH60" s="794"/>
      <c r="AI60" s="793"/>
      <c r="AJ60" s="793"/>
      <c r="AK60" s="793"/>
      <c r="AL60" s="793"/>
      <c r="AM60" s="809"/>
      <c r="AN60" s="87"/>
      <c r="AO60" s="87"/>
      <c r="AP60" s="87"/>
      <c r="AQ60" s="87"/>
      <c r="AR60" s="87"/>
      <c r="AS60" s="87"/>
      <c r="AT60" s="87"/>
      <c r="AU60" s="87"/>
      <c r="AV60" s="87"/>
      <c r="AW60" s="87"/>
      <c r="AX60" s="87"/>
      <c r="AY60" s="87"/>
      <c r="AZ60" s="87"/>
      <c r="BA60" s="87"/>
      <c r="BB60" s="87"/>
      <c r="BC60" s="87"/>
      <c r="BD60" s="87"/>
      <c r="BE60" s="87"/>
      <c r="BF60" s="87"/>
      <c r="BG60" s="87"/>
      <c r="BH60" s="87"/>
      <c r="BI60" s="87"/>
      <c r="BJ60" s="87"/>
      <c r="BK60" s="87"/>
      <c r="BL60" s="87"/>
      <c r="BM60" s="87"/>
      <c r="BN60" s="87"/>
      <c r="BO60" s="87"/>
      <c r="BP60" s="87"/>
      <c r="BQ60" s="87"/>
      <c r="BR60" s="87"/>
      <c r="BS60" s="87"/>
      <c r="BT60" s="87"/>
      <c r="BU60" s="87"/>
      <c r="BV60" s="87"/>
      <c r="BW60" s="87"/>
      <c r="BX60" s="87"/>
      <c r="BY60" s="87"/>
      <c r="BZ60" s="87"/>
      <c r="CA60" s="87"/>
      <c r="CB60" s="87"/>
    </row>
    <row r="61" spans="1:80" ht="15.75" thickBot="1" x14ac:dyDescent="0.3">
      <c r="A61" s="87"/>
      <c r="B61" s="87"/>
      <c r="C61" s="87"/>
      <c r="D61" s="87"/>
      <c r="E61" s="87"/>
      <c r="F61" s="87"/>
      <c r="G61" s="87"/>
      <c r="H61" s="87"/>
      <c r="I61" s="87"/>
      <c r="J61" s="795"/>
      <c r="K61" s="796"/>
      <c r="L61" s="796"/>
      <c r="M61" s="796"/>
      <c r="N61" s="796"/>
      <c r="O61" s="810"/>
      <c r="P61" s="795"/>
      <c r="Q61" s="796"/>
      <c r="R61" s="796"/>
      <c r="S61" s="796"/>
      <c r="T61" s="796"/>
      <c r="U61" s="810"/>
      <c r="V61" s="795"/>
      <c r="W61" s="796"/>
      <c r="X61" s="796"/>
      <c r="Y61" s="796"/>
      <c r="Z61" s="796"/>
      <c r="AA61" s="810"/>
      <c r="AB61" s="795"/>
      <c r="AC61" s="796"/>
      <c r="AD61" s="796"/>
      <c r="AE61" s="796"/>
      <c r="AF61" s="796"/>
      <c r="AG61" s="810"/>
      <c r="AH61" s="795"/>
      <c r="AI61" s="796"/>
      <c r="AJ61" s="796"/>
      <c r="AK61" s="796"/>
      <c r="AL61" s="796"/>
      <c r="AM61" s="810"/>
      <c r="AN61" s="87"/>
      <c r="AO61" s="87"/>
      <c r="AP61" s="87"/>
      <c r="AQ61" s="87"/>
      <c r="AR61" s="87"/>
      <c r="AS61" s="87"/>
      <c r="AT61" s="87"/>
      <c r="AU61" s="87"/>
      <c r="AV61" s="87"/>
      <c r="AW61" s="87"/>
      <c r="AX61" s="87"/>
      <c r="AY61" s="87"/>
      <c r="AZ61" s="87"/>
      <c r="BA61" s="87"/>
      <c r="BB61" s="87"/>
      <c r="BC61" s="87"/>
      <c r="BD61" s="87"/>
      <c r="BE61" s="87"/>
      <c r="BF61" s="87"/>
      <c r="BG61" s="87"/>
      <c r="BH61" s="87"/>
      <c r="BI61" s="87"/>
      <c r="BJ61" s="87"/>
      <c r="BK61" s="87"/>
      <c r="BL61" s="87"/>
      <c r="BM61" s="87"/>
      <c r="BN61" s="87"/>
      <c r="BO61" s="87"/>
      <c r="BP61" s="87"/>
      <c r="BQ61" s="87"/>
      <c r="BR61" s="87"/>
      <c r="BS61" s="87"/>
      <c r="BT61" s="87"/>
      <c r="BU61" s="87"/>
      <c r="BV61" s="87"/>
      <c r="BW61" s="87"/>
      <c r="BX61" s="87"/>
      <c r="BY61" s="87"/>
      <c r="BZ61" s="87"/>
      <c r="CA61" s="87"/>
      <c r="CB61" s="87"/>
    </row>
    <row r="62" spans="1:80" x14ac:dyDescent="0.25">
      <c r="A62" s="87"/>
      <c r="B62" s="87"/>
      <c r="C62" s="87"/>
      <c r="D62" s="87"/>
      <c r="E62" s="87"/>
      <c r="F62" s="87"/>
      <c r="G62" s="87"/>
      <c r="H62" s="87"/>
      <c r="I62" s="87"/>
      <c r="J62" s="87"/>
      <c r="K62" s="87"/>
      <c r="L62" s="87"/>
      <c r="M62" s="87"/>
      <c r="N62" s="87"/>
      <c r="O62" s="87"/>
      <c r="P62" s="87"/>
      <c r="Q62" s="87"/>
      <c r="R62" s="87"/>
      <c r="S62" s="87"/>
      <c r="T62" s="87"/>
      <c r="U62" s="87"/>
      <c r="V62" s="87"/>
      <c r="W62" s="87"/>
      <c r="X62" s="87"/>
      <c r="Y62" s="87"/>
      <c r="Z62" s="87"/>
      <c r="AA62" s="87"/>
      <c r="AB62" s="87"/>
      <c r="AC62" s="87"/>
      <c r="AD62" s="87"/>
      <c r="AE62" s="87"/>
      <c r="AF62" s="87"/>
      <c r="AG62" s="87"/>
      <c r="AH62" s="87"/>
      <c r="AI62" s="87"/>
      <c r="AJ62" s="87"/>
      <c r="AK62" s="87"/>
      <c r="AL62" s="87"/>
      <c r="AM62" s="87"/>
      <c r="AN62" s="87"/>
      <c r="AO62" s="87"/>
      <c r="AP62" s="87"/>
      <c r="AQ62" s="87"/>
      <c r="AR62" s="87"/>
      <c r="AS62" s="87"/>
      <c r="AT62" s="87"/>
      <c r="AU62" s="87"/>
      <c r="AV62" s="87"/>
      <c r="AW62" s="87"/>
      <c r="AX62" s="87"/>
      <c r="AY62" s="87"/>
      <c r="AZ62" s="87"/>
      <c r="BA62" s="87"/>
      <c r="BB62" s="87"/>
      <c r="BC62" s="87"/>
      <c r="BD62" s="87"/>
      <c r="BE62" s="87"/>
      <c r="BF62" s="87"/>
      <c r="BG62" s="87"/>
      <c r="BH62" s="87"/>
    </row>
    <row r="63" spans="1:80" ht="15" customHeight="1" x14ac:dyDescent="0.25">
      <c r="A63" s="87"/>
      <c r="B63" s="91"/>
      <c r="C63" s="91"/>
      <c r="D63" s="91"/>
      <c r="E63" s="91"/>
      <c r="F63" s="91"/>
      <c r="G63" s="91"/>
      <c r="H63" s="91"/>
      <c r="I63" s="91"/>
      <c r="J63" s="91"/>
      <c r="K63" s="91"/>
      <c r="L63" s="91"/>
      <c r="M63" s="91"/>
      <c r="N63" s="91"/>
      <c r="O63" s="91"/>
      <c r="P63" s="91"/>
      <c r="Q63" s="91"/>
      <c r="R63" s="91"/>
      <c r="S63" s="91"/>
      <c r="T63" s="91"/>
      <c r="U63" s="91"/>
      <c r="V63" s="91"/>
      <c r="W63" s="91"/>
      <c r="X63" s="91"/>
      <c r="Y63" s="91"/>
      <c r="Z63" s="91"/>
      <c r="AA63" s="91"/>
      <c r="AB63" s="91"/>
      <c r="AC63" s="91"/>
      <c r="AD63" s="91"/>
      <c r="AE63" s="91"/>
      <c r="AF63" s="91"/>
      <c r="AG63" s="91"/>
      <c r="AH63" s="91"/>
      <c r="AI63" s="91"/>
      <c r="AJ63" s="91"/>
      <c r="AK63" s="91"/>
      <c r="AL63" s="91"/>
      <c r="AM63" s="91"/>
      <c r="AN63" s="91"/>
      <c r="AO63" s="91"/>
      <c r="AP63" s="91"/>
      <c r="AQ63" s="91"/>
      <c r="AR63" s="91"/>
      <c r="AS63" s="91"/>
      <c r="AT63" s="91"/>
      <c r="AU63" s="87"/>
      <c r="AV63" s="87"/>
      <c r="AW63" s="87"/>
      <c r="AX63" s="87"/>
      <c r="AY63" s="87"/>
      <c r="AZ63" s="87"/>
      <c r="BA63" s="87"/>
      <c r="BB63" s="87"/>
      <c r="BC63" s="87"/>
      <c r="BD63" s="87"/>
      <c r="BE63" s="87"/>
      <c r="BF63" s="87"/>
      <c r="BG63" s="87"/>
      <c r="BH63" s="87"/>
    </row>
    <row r="64" spans="1:80" ht="15" customHeight="1" x14ac:dyDescent="0.25">
      <c r="A64" s="87"/>
      <c r="B64" s="91"/>
      <c r="C64" s="91"/>
      <c r="D64" s="91"/>
      <c r="E64" s="91"/>
      <c r="F64" s="91"/>
      <c r="G64" s="91"/>
      <c r="H64" s="91"/>
      <c r="I64" s="91"/>
      <c r="J64" s="91"/>
      <c r="K64" s="91"/>
      <c r="L64" s="91"/>
      <c r="M64" s="91"/>
      <c r="N64" s="91"/>
      <c r="O64" s="91"/>
      <c r="P64" s="91"/>
      <c r="Q64" s="91"/>
      <c r="R64" s="91"/>
      <c r="S64" s="91"/>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87"/>
      <c r="AV64" s="87"/>
      <c r="AW64" s="87"/>
      <c r="AX64" s="87"/>
      <c r="AY64" s="87"/>
      <c r="AZ64" s="87"/>
      <c r="BA64" s="87"/>
      <c r="BB64" s="87"/>
      <c r="BC64" s="87"/>
      <c r="BD64" s="87"/>
      <c r="BE64" s="87"/>
      <c r="BF64" s="87"/>
      <c r="BG64" s="87"/>
      <c r="BH64" s="87"/>
    </row>
    <row r="65" spans="1:60" x14ac:dyDescent="0.25">
      <c r="A65" s="87"/>
      <c r="B65" s="87"/>
      <c r="C65" s="87"/>
      <c r="D65" s="87"/>
      <c r="E65" s="87"/>
      <c r="F65" s="87"/>
      <c r="G65" s="87"/>
      <c r="H65" s="87"/>
      <c r="I65" s="87"/>
      <c r="J65" s="87"/>
      <c r="K65" s="87"/>
      <c r="L65" s="87"/>
      <c r="M65" s="87"/>
      <c r="N65" s="87"/>
      <c r="O65" s="87"/>
      <c r="P65" s="87"/>
      <c r="Q65" s="87"/>
      <c r="R65" s="87"/>
      <c r="S65" s="87"/>
      <c r="T65" s="87"/>
      <c r="U65" s="87"/>
      <c r="V65" s="87"/>
      <c r="W65" s="87"/>
      <c r="X65" s="87"/>
      <c r="Y65" s="87"/>
      <c r="Z65" s="87"/>
      <c r="AA65" s="87"/>
      <c r="AB65" s="87"/>
      <c r="AC65" s="87"/>
      <c r="AD65" s="87"/>
      <c r="AE65" s="87"/>
      <c r="AF65" s="87"/>
      <c r="AG65" s="87"/>
      <c r="AH65" s="87"/>
      <c r="AI65" s="87"/>
      <c r="AJ65" s="87"/>
      <c r="AK65" s="87"/>
      <c r="AL65" s="87"/>
      <c r="AM65" s="87"/>
      <c r="AN65" s="87"/>
      <c r="AO65" s="87"/>
      <c r="AP65" s="87"/>
      <c r="AQ65" s="87"/>
      <c r="AR65" s="87"/>
      <c r="AS65" s="87"/>
      <c r="AT65" s="87"/>
      <c r="AU65" s="87"/>
      <c r="AV65" s="87"/>
      <c r="AW65" s="87"/>
      <c r="AX65" s="87"/>
      <c r="AY65" s="87"/>
      <c r="AZ65" s="87"/>
      <c r="BA65" s="87"/>
      <c r="BB65" s="87"/>
      <c r="BC65" s="87"/>
      <c r="BD65" s="87"/>
      <c r="BE65" s="87"/>
      <c r="BF65" s="87"/>
      <c r="BG65" s="87"/>
      <c r="BH65" s="87"/>
    </row>
    <row r="66" spans="1:60" x14ac:dyDescent="0.25">
      <c r="A66" s="87"/>
      <c r="B66" s="87"/>
      <c r="C66" s="87"/>
      <c r="D66" s="87"/>
      <c r="E66" s="87"/>
      <c r="F66" s="87"/>
      <c r="G66" s="87"/>
      <c r="H66" s="87"/>
      <c r="I66" s="87"/>
      <c r="J66" s="87"/>
      <c r="K66" s="87"/>
      <c r="L66" s="87"/>
      <c r="M66" s="87"/>
      <c r="N66" s="87"/>
      <c r="O66" s="87"/>
      <c r="P66" s="87"/>
      <c r="Q66" s="87"/>
      <c r="R66" s="87"/>
      <c r="S66" s="87"/>
      <c r="T66" s="87"/>
      <c r="U66" s="87"/>
      <c r="V66" s="87"/>
      <c r="W66" s="87"/>
      <c r="X66" s="87"/>
      <c r="Y66" s="87"/>
      <c r="Z66" s="87"/>
      <c r="AA66" s="87"/>
      <c r="AB66" s="87"/>
      <c r="AC66" s="87"/>
      <c r="AD66" s="87"/>
      <c r="AE66" s="87"/>
      <c r="AF66" s="87"/>
      <c r="AG66" s="87"/>
      <c r="AH66" s="87"/>
      <c r="AI66" s="87"/>
      <c r="AJ66" s="87"/>
      <c r="AK66" s="87"/>
      <c r="AL66" s="87"/>
      <c r="AM66" s="87"/>
      <c r="AN66" s="87"/>
      <c r="AO66" s="87"/>
      <c r="AP66" s="87"/>
      <c r="AQ66" s="87"/>
      <c r="AR66" s="87"/>
      <c r="AS66" s="87"/>
      <c r="AT66" s="87"/>
      <c r="AU66" s="87"/>
      <c r="AV66" s="87"/>
      <c r="AW66" s="87"/>
      <c r="AX66" s="87"/>
      <c r="AY66" s="87"/>
      <c r="AZ66" s="87"/>
      <c r="BA66" s="87"/>
      <c r="BB66" s="87"/>
      <c r="BC66" s="87"/>
      <c r="BD66" s="87"/>
      <c r="BE66" s="87"/>
      <c r="BF66" s="87"/>
      <c r="BG66" s="87"/>
      <c r="BH66" s="87"/>
    </row>
    <row r="67" spans="1:60" x14ac:dyDescent="0.25">
      <c r="A67" s="87"/>
      <c r="B67" s="87"/>
      <c r="C67" s="87"/>
      <c r="D67" s="87"/>
      <c r="E67" s="87"/>
      <c r="F67" s="87"/>
      <c r="G67" s="87"/>
      <c r="H67" s="87"/>
      <c r="I67" s="87"/>
      <c r="J67" s="87"/>
      <c r="K67" s="87"/>
      <c r="L67" s="87"/>
      <c r="M67" s="87"/>
      <c r="N67" s="87"/>
      <c r="O67" s="87"/>
      <c r="P67" s="87"/>
      <c r="Q67" s="87"/>
      <c r="R67" s="87"/>
      <c r="S67" s="87"/>
      <c r="T67" s="87"/>
      <c r="U67" s="87"/>
      <c r="V67" s="87"/>
      <c r="W67" s="87"/>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c r="AY67" s="87"/>
      <c r="AZ67" s="87"/>
      <c r="BA67" s="87"/>
      <c r="BB67" s="87"/>
      <c r="BC67" s="87"/>
      <c r="BD67" s="87"/>
      <c r="BE67" s="87"/>
      <c r="BF67" s="87"/>
      <c r="BG67" s="87"/>
      <c r="BH67" s="87"/>
    </row>
    <row r="68" spans="1:60" x14ac:dyDescent="0.25">
      <c r="A68" s="87"/>
      <c r="B68" s="87"/>
      <c r="C68" s="87"/>
      <c r="D68" s="87"/>
      <c r="E68" s="87"/>
      <c r="F68" s="87"/>
      <c r="G68" s="87"/>
      <c r="H68" s="87"/>
      <c r="I68" s="87"/>
      <c r="J68" s="87"/>
      <c r="K68" s="87"/>
      <c r="L68" s="87"/>
      <c r="M68" s="87"/>
      <c r="N68" s="87"/>
      <c r="O68" s="87"/>
      <c r="P68" s="87"/>
      <c r="Q68" s="87"/>
      <c r="R68" s="87"/>
      <c r="S68" s="87"/>
      <c r="T68" s="87"/>
      <c r="U68" s="87"/>
      <c r="V68" s="87"/>
      <c r="W68" s="87"/>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c r="AY68" s="87"/>
      <c r="AZ68" s="87"/>
      <c r="BA68" s="87"/>
      <c r="BB68" s="87"/>
      <c r="BC68" s="87"/>
      <c r="BD68" s="87"/>
      <c r="BE68" s="87"/>
      <c r="BF68" s="87"/>
      <c r="BG68" s="87"/>
      <c r="BH68" s="87"/>
    </row>
    <row r="69" spans="1:60" x14ac:dyDescent="0.25">
      <c r="A69" s="87"/>
      <c r="B69" s="87"/>
      <c r="C69" s="87"/>
      <c r="D69" s="87"/>
      <c r="E69" s="87"/>
      <c r="F69" s="87"/>
      <c r="G69" s="87"/>
      <c r="H69" s="87"/>
      <c r="I69" s="87"/>
      <c r="J69" s="87"/>
      <c r="K69" s="87"/>
      <c r="L69" s="87"/>
      <c r="M69" s="87"/>
      <c r="N69" s="87"/>
      <c r="O69" s="87"/>
      <c r="P69" s="87"/>
      <c r="Q69" s="87"/>
      <c r="R69" s="87"/>
      <c r="S69" s="87"/>
      <c r="T69" s="87"/>
      <c r="U69" s="87"/>
      <c r="V69" s="87"/>
      <c r="W69" s="87"/>
      <c r="X69" s="87"/>
      <c r="Y69" s="87"/>
      <c r="Z69" s="87"/>
      <c r="AA69" s="87"/>
      <c r="AB69" s="87"/>
      <c r="AC69" s="87"/>
      <c r="AD69" s="87"/>
      <c r="AE69" s="87"/>
      <c r="AF69" s="87"/>
      <c r="AG69" s="87"/>
      <c r="AH69" s="87"/>
      <c r="AI69" s="87"/>
      <c r="AJ69" s="87"/>
      <c r="AK69" s="87"/>
      <c r="AL69" s="87"/>
      <c r="AM69" s="87"/>
      <c r="AN69" s="87"/>
      <c r="AO69" s="87"/>
      <c r="AP69" s="87"/>
      <c r="AQ69" s="87"/>
      <c r="AR69" s="87"/>
      <c r="AS69" s="87"/>
      <c r="AT69" s="87"/>
      <c r="AU69" s="87"/>
      <c r="AV69" s="87"/>
      <c r="AW69" s="87"/>
      <c r="AX69" s="87"/>
      <c r="AY69" s="87"/>
      <c r="AZ69" s="87"/>
      <c r="BA69" s="87"/>
      <c r="BB69" s="87"/>
      <c r="BC69" s="87"/>
      <c r="BD69" s="87"/>
      <c r="BE69" s="87"/>
      <c r="BF69" s="87"/>
      <c r="BG69" s="87"/>
      <c r="BH69" s="87"/>
    </row>
    <row r="70" spans="1:60" x14ac:dyDescent="0.25">
      <c r="A70" s="87"/>
      <c r="B70" s="87"/>
      <c r="C70" s="87"/>
      <c r="D70" s="87"/>
      <c r="E70" s="87"/>
      <c r="F70" s="87"/>
      <c r="G70" s="87"/>
      <c r="H70" s="87"/>
      <c r="I70" s="87"/>
      <c r="J70" s="87"/>
      <c r="K70" s="87"/>
      <c r="L70" s="87"/>
      <c r="M70" s="87"/>
      <c r="N70" s="87"/>
      <c r="O70" s="87"/>
      <c r="P70" s="87"/>
      <c r="Q70" s="87"/>
      <c r="R70" s="87"/>
      <c r="S70" s="87"/>
      <c r="T70" s="87"/>
      <c r="U70" s="87"/>
      <c r="V70" s="87"/>
      <c r="W70" s="87"/>
      <c r="X70" s="87"/>
      <c r="Y70" s="87"/>
      <c r="Z70" s="87"/>
      <c r="AA70" s="87"/>
      <c r="AB70" s="87"/>
      <c r="AC70" s="87"/>
      <c r="AD70" s="87"/>
      <c r="AE70" s="87"/>
      <c r="AF70" s="87"/>
      <c r="AG70" s="87"/>
      <c r="AH70" s="87"/>
      <c r="AI70" s="87"/>
      <c r="AJ70" s="87"/>
      <c r="AK70" s="87"/>
      <c r="AL70" s="87"/>
      <c r="AM70" s="87"/>
      <c r="AN70" s="87"/>
      <c r="AO70" s="87"/>
      <c r="AP70" s="87"/>
      <c r="AQ70" s="87"/>
      <c r="AR70" s="87"/>
      <c r="AS70" s="87"/>
      <c r="AT70" s="87"/>
      <c r="AU70" s="87"/>
      <c r="AV70" s="87"/>
      <c r="AW70" s="87"/>
      <c r="AX70" s="87"/>
      <c r="AY70" s="87"/>
      <c r="AZ70" s="87"/>
      <c r="BA70" s="87"/>
      <c r="BB70" s="87"/>
      <c r="BC70" s="87"/>
      <c r="BD70" s="87"/>
      <c r="BE70" s="87"/>
      <c r="BF70" s="87"/>
      <c r="BG70" s="87"/>
      <c r="BH70" s="87"/>
    </row>
    <row r="71" spans="1:60" x14ac:dyDescent="0.25">
      <c r="A71" s="87"/>
      <c r="B71" s="87"/>
      <c r="C71" s="87"/>
      <c r="D71" s="87"/>
      <c r="E71" s="87"/>
      <c r="F71" s="87"/>
      <c r="G71" s="87"/>
      <c r="H71" s="87"/>
      <c r="I71" s="87"/>
      <c r="J71" s="87"/>
      <c r="K71" s="87"/>
      <c r="L71" s="87"/>
      <c r="M71" s="87"/>
      <c r="N71" s="87"/>
      <c r="O71" s="87"/>
      <c r="P71" s="87"/>
      <c r="Q71" s="87"/>
      <c r="R71" s="87"/>
      <c r="S71" s="87"/>
      <c r="T71" s="87"/>
      <c r="U71" s="87"/>
      <c r="V71" s="87"/>
      <c r="W71" s="87"/>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c r="AY71" s="87"/>
      <c r="AZ71" s="87"/>
      <c r="BA71" s="87"/>
      <c r="BB71" s="87"/>
      <c r="BC71" s="87"/>
      <c r="BD71" s="87"/>
      <c r="BE71" s="87"/>
      <c r="BF71" s="87"/>
      <c r="BG71" s="87"/>
      <c r="BH71" s="87"/>
    </row>
    <row r="72" spans="1:60" x14ac:dyDescent="0.25">
      <c r="A72" s="87"/>
      <c r="B72" s="87"/>
      <c r="C72" s="87"/>
      <c r="D72" s="87"/>
      <c r="E72" s="87"/>
      <c r="F72" s="87"/>
      <c r="G72" s="87"/>
      <c r="H72" s="87"/>
      <c r="I72" s="87"/>
      <c r="J72" s="87"/>
      <c r="K72" s="87"/>
      <c r="L72" s="87"/>
      <c r="M72" s="87"/>
      <c r="N72" s="87"/>
      <c r="O72" s="87"/>
      <c r="P72" s="87"/>
      <c r="Q72" s="87"/>
      <c r="R72" s="87"/>
      <c r="S72" s="87"/>
      <c r="T72" s="87"/>
      <c r="U72" s="87"/>
      <c r="V72" s="87"/>
      <c r="W72" s="87"/>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c r="AY72" s="87"/>
      <c r="AZ72" s="87"/>
      <c r="BA72" s="87"/>
      <c r="BB72" s="87"/>
      <c r="BC72" s="87"/>
      <c r="BD72" s="87"/>
      <c r="BE72" s="87"/>
      <c r="BF72" s="87"/>
      <c r="BG72" s="87"/>
      <c r="BH72" s="87"/>
    </row>
    <row r="73" spans="1:60" x14ac:dyDescent="0.25">
      <c r="A73" s="87"/>
      <c r="B73" s="87"/>
      <c r="C73" s="87"/>
      <c r="D73" s="87"/>
      <c r="E73" s="87"/>
      <c r="F73" s="87"/>
      <c r="G73" s="87"/>
      <c r="H73" s="87"/>
      <c r="I73" s="87"/>
      <c r="J73" s="87"/>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7"/>
      <c r="AK73" s="87"/>
      <c r="AL73" s="87"/>
      <c r="AM73" s="87"/>
      <c r="AN73" s="87"/>
      <c r="AO73" s="87"/>
      <c r="AP73" s="87"/>
      <c r="AQ73" s="87"/>
      <c r="AR73" s="87"/>
      <c r="AS73" s="87"/>
      <c r="AT73" s="87"/>
      <c r="AU73" s="87"/>
      <c r="AV73" s="87"/>
      <c r="AW73" s="87"/>
      <c r="AX73" s="87"/>
      <c r="AY73" s="87"/>
      <c r="AZ73" s="87"/>
      <c r="BA73" s="87"/>
      <c r="BB73" s="87"/>
      <c r="BC73" s="87"/>
      <c r="BD73" s="87"/>
      <c r="BE73" s="87"/>
      <c r="BF73" s="87"/>
      <c r="BG73" s="87"/>
      <c r="BH73" s="87"/>
    </row>
    <row r="74" spans="1:60" x14ac:dyDescent="0.25">
      <c r="A74" s="87"/>
      <c r="B74" s="87"/>
      <c r="C74" s="87"/>
      <c r="D74" s="87"/>
      <c r="E74" s="87"/>
      <c r="F74" s="87"/>
      <c r="G74" s="87"/>
      <c r="H74" s="87"/>
      <c r="I74" s="87"/>
      <c r="J74" s="87"/>
      <c r="K74" s="87"/>
      <c r="L74" s="87"/>
      <c r="M74" s="87"/>
      <c r="N74" s="87"/>
      <c r="O74" s="87"/>
      <c r="P74" s="87"/>
      <c r="Q74" s="87"/>
      <c r="R74" s="87"/>
      <c r="S74" s="87"/>
      <c r="T74" s="87"/>
      <c r="U74" s="87"/>
      <c r="V74" s="87"/>
      <c r="W74" s="87"/>
      <c r="X74" s="87"/>
      <c r="Y74" s="87"/>
      <c r="Z74" s="87"/>
      <c r="AA74" s="87"/>
      <c r="AB74" s="87"/>
      <c r="AC74" s="87"/>
      <c r="AD74" s="87"/>
      <c r="AE74" s="87"/>
      <c r="AF74" s="87"/>
      <c r="AG74" s="87"/>
      <c r="AH74" s="87"/>
      <c r="AI74" s="87"/>
      <c r="AJ74" s="87"/>
      <c r="AK74" s="87"/>
      <c r="AL74" s="87"/>
      <c r="AM74" s="87"/>
      <c r="AN74" s="87"/>
      <c r="AO74" s="87"/>
      <c r="AP74" s="87"/>
      <c r="AQ74" s="87"/>
      <c r="AR74" s="87"/>
      <c r="AS74" s="87"/>
      <c r="AT74" s="87"/>
      <c r="AU74" s="87"/>
      <c r="AV74" s="87"/>
      <c r="AW74" s="87"/>
      <c r="AX74" s="87"/>
      <c r="AY74" s="87"/>
      <c r="AZ74" s="87"/>
      <c r="BA74" s="87"/>
      <c r="BB74" s="87"/>
      <c r="BC74" s="87"/>
      <c r="BD74" s="87"/>
      <c r="BE74" s="87"/>
      <c r="BF74" s="87"/>
      <c r="BG74" s="87"/>
      <c r="BH74" s="87"/>
    </row>
    <row r="75" spans="1:60" x14ac:dyDescent="0.25">
      <c r="A75" s="87"/>
      <c r="B75" s="87"/>
      <c r="C75" s="87"/>
      <c r="D75" s="87"/>
      <c r="E75" s="87"/>
      <c r="F75" s="87"/>
      <c r="G75" s="87"/>
      <c r="H75" s="87"/>
      <c r="I75" s="87"/>
      <c r="J75" s="87"/>
      <c r="K75" s="87"/>
      <c r="L75" s="87"/>
      <c r="M75" s="87"/>
      <c r="N75" s="87"/>
      <c r="O75" s="87"/>
      <c r="P75" s="87"/>
      <c r="Q75" s="87"/>
      <c r="R75" s="87"/>
      <c r="S75" s="87"/>
      <c r="T75" s="87"/>
      <c r="U75" s="87"/>
      <c r="V75" s="87"/>
      <c r="W75" s="87"/>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c r="AY75" s="87"/>
      <c r="AZ75" s="87"/>
      <c r="BA75" s="87"/>
      <c r="BB75" s="87"/>
      <c r="BC75" s="87"/>
      <c r="BD75" s="87"/>
      <c r="BE75" s="87"/>
      <c r="BF75" s="87"/>
      <c r="BG75" s="87"/>
      <c r="BH75" s="87"/>
    </row>
    <row r="76" spans="1:60" x14ac:dyDescent="0.25">
      <c r="A76" s="87"/>
      <c r="B76" s="87"/>
      <c r="C76" s="87"/>
      <c r="D76" s="87"/>
      <c r="E76" s="87"/>
      <c r="F76" s="87"/>
      <c r="G76" s="87"/>
      <c r="H76" s="87"/>
      <c r="I76" s="87"/>
      <c r="J76" s="87"/>
      <c r="K76" s="87"/>
      <c r="L76" s="87"/>
      <c r="M76" s="87"/>
      <c r="N76" s="87"/>
      <c r="O76" s="87"/>
      <c r="P76" s="87"/>
      <c r="Q76" s="87"/>
      <c r="R76" s="87"/>
      <c r="S76" s="87"/>
      <c r="T76" s="87"/>
      <c r="U76" s="87"/>
      <c r="V76" s="87"/>
      <c r="W76" s="87"/>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c r="AY76" s="87"/>
      <c r="AZ76" s="87"/>
      <c r="BA76" s="87"/>
      <c r="BB76" s="87"/>
      <c r="BC76" s="87"/>
      <c r="BD76" s="87"/>
      <c r="BE76" s="87"/>
      <c r="BF76" s="87"/>
      <c r="BG76" s="87"/>
      <c r="BH76" s="87"/>
    </row>
    <row r="77" spans="1:60" x14ac:dyDescent="0.25">
      <c r="A77" s="87"/>
      <c r="B77" s="87"/>
      <c r="C77" s="87"/>
      <c r="D77" s="87"/>
      <c r="E77" s="87"/>
      <c r="F77" s="87"/>
      <c r="G77" s="87"/>
      <c r="H77" s="87"/>
      <c r="I77" s="87"/>
      <c r="J77" s="87"/>
      <c r="K77" s="87"/>
      <c r="L77" s="87"/>
      <c r="M77" s="87"/>
      <c r="N77" s="87"/>
      <c r="O77" s="87"/>
      <c r="P77" s="87"/>
      <c r="Q77" s="87"/>
      <c r="R77" s="87"/>
      <c r="S77" s="87"/>
      <c r="T77" s="87"/>
      <c r="U77" s="87"/>
      <c r="V77" s="87"/>
      <c r="W77" s="87"/>
      <c r="X77" s="87"/>
      <c r="Y77" s="87"/>
      <c r="Z77" s="87"/>
      <c r="AA77" s="87"/>
      <c r="AB77" s="87"/>
      <c r="AC77" s="87"/>
      <c r="AD77" s="87"/>
      <c r="AE77" s="87"/>
      <c r="AF77" s="87"/>
      <c r="AG77" s="87"/>
      <c r="AH77" s="87"/>
      <c r="AI77" s="87"/>
      <c r="AJ77" s="87"/>
      <c r="AK77" s="87"/>
      <c r="AL77" s="87"/>
      <c r="AM77" s="87"/>
      <c r="AN77" s="87"/>
      <c r="AO77" s="87"/>
      <c r="AP77" s="87"/>
      <c r="AQ77" s="87"/>
      <c r="AR77" s="87"/>
      <c r="AS77" s="87"/>
      <c r="AT77" s="87"/>
      <c r="AU77" s="87"/>
      <c r="AV77" s="87"/>
      <c r="AW77" s="87"/>
      <c r="AX77" s="87"/>
      <c r="AY77" s="87"/>
      <c r="AZ77" s="87"/>
      <c r="BA77" s="87"/>
      <c r="BB77" s="87"/>
      <c r="BC77" s="87"/>
      <c r="BD77" s="87"/>
      <c r="BE77" s="87"/>
      <c r="BF77" s="87"/>
      <c r="BG77" s="87"/>
      <c r="BH77" s="87"/>
    </row>
    <row r="78" spans="1:60" x14ac:dyDescent="0.25">
      <c r="A78" s="87"/>
      <c r="B78" s="87"/>
      <c r="C78" s="87"/>
      <c r="D78" s="87"/>
      <c r="E78" s="87"/>
      <c r="F78" s="87"/>
      <c r="G78" s="87"/>
      <c r="H78" s="87"/>
      <c r="I78" s="87"/>
      <c r="J78" s="87"/>
      <c r="K78" s="87"/>
      <c r="L78" s="87"/>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AO78" s="87"/>
      <c r="AP78" s="87"/>
      <c r="AQ78" s="87"/>
      <c r="AR78" s="87"/>
      <c r="AS78" s="87"/>
      <c r="AT78" s="87"/>
      <c r="AU78" s="87"/>
      <c r="AV78" s="87"/>
      <c r="AW78" s="87"/>
      <c r="AX78" s="87"/>
      <c r="AY78" s="87"/>
      <c r="AZ78" s="87"/>
      <c r="BA78" s="87"/>
      <c r="BB78" s="87"/>
      <c r="BC78" s="87"/>
      <c r="BD78" s="87"/>
      <c r="BE78" s="87"/>
      <c r="BF78" s="87"/>
      <c r="BG78" s="87"/>
      <c r="BH78" s="87"/>
    </row>
    <row r="79" spans="1:60" x14ac:dyDescent="0.25">
      <c r="A79" s="87"/>
      <c r="B79" s="87"/>
      <c r="C79" s="87"/>
      <c r="D79" s="87"/>
      <c r="E79" s="87"/>
      <c r="F79" s="87"/>
      <c r="G79" s="87"/>
      <c r="H79" s="87"/>
      <c r="I79" s="87"/>
      <c r="J79" s="87"/>
      <c r="K79" s="87"/>
      <c r="L79" s="87"/>
      <c r="M79" s="87"/>
      <c r="N79" s="87"/>
      <c r="O79" s="87"/>
      <c r="P79" s="87"/>
      <c r="Q79" s="87"/>
      <c r="R79" s="87"/>
      <c r="S79" s="87"/>
      <c r="T79" s="87"/>
      <c r="U79" s="87"/>
      <c r="V79" s="87"/>
      <c r="W79" s="87"/>
      <c r="X79" s="87"/>
      <c r="Y79" s="87"/>
      <c r="Z79" s="87"/>
      <c r="AA79" s="87"/>
      <c r="AB79" s="87"/>
      <c r="AC79" s="87"/>
      <c r="AD79" s="87"/>
      <c r="AE79" s="87"/>
      <c r="AF79" s="87"/>
      <c r="AG79" s="87"/>
      <c r="AH79" s="87"/>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row>
    <row r="80" spans="1:60" x14ac:dyDescent="0.25">
      <c r="A80" s="87"/>
      <c r="B80" s="87"/>
      <c r="C80" s="87"/>
      <c r="D80" s="87"/>
      <c r="E80" s="87"/>
      <c r="F80" s="87"/>
      <c r="G80" s="87"/>
      <c r="H80" s="87"/>
      <c r="I80" s="87"/>
      <c r="J80" s="87"/>
      <c r="K80" s="87"/>
      <c r="L80" s="87"/>
      <c r="M80" s="87"/>
      <c r="N80" s="87"/>
      <c r="O80" s="87"/>
      <c r="P80" s="87"/>
      <c r="Q80" s="87"/>
      <c r="R80" s="87"/>
      <c r="S80" s="87"/>
      <c r="T80" s="87"/>
      <c r="U80" s="87"/>
      <c r="V80" s="87"/>
      <c r="W80" s="87"/>
      <c r="X80" s="87"/>
      <c r="Y80" s="87"/>
      <c r="Z80" s="87"/>
      <c r="AA80" s="87"/>
      <c r="AB80" s="87"/>
      <c r="AC80" s="87"/>
      <c r="AD80" s="87"/>
      <c r="AE80" s="87"/>
      <c r="AF80" s="87"/>
      <c r="AG80" s="87"/>
      <c r="AH80" s="87"/>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row>
    <row r="81" spans="1:60" x14ac:dyDescent="0.25">
      <c r="A81" s="87"/>
      <c r="B81" s="87"/>
      <c r="C81" s="87"/>
      <c r="D81" s="87"/>
      <c r="E81" s="87"/>
      <c r="F81" s="87"/>
      <c r="G81" s="87"/>
      <c r="H81" s="87"/>
      <c r="I81" s="87"/>
      <c r="J81" s="87"/>
      <c r="K81" s="87"/>
      <c r="L81" s="87"/>
      <c r="M81" s="87"/>
      <c r="N81" s="87"/>
      <c r="O81" s="87"/>
      <c r="P81" s="87"/>
      <c r="Q81" s="87"/>
      <c r="R81" s="87"/>
      <c r="S81" s="87"/>
      <c r="T81" s="87"/>
      <c r="U81" s="87"/>
      <c r="V81" s="87"/>
      <c r="W81" s="87"/>
      <c r="X81" s="87"/>
      <c r="Y81" s="87"/>
      <c r="Z81" s="87"/>
      <c r="AA81" s="87"/>
      <c r="AB81" s="87"/>
      <c r="AC81" s="87"/>
      <c r="AD81" s="87"/>
      <c r="AE81" s="87"/>
      <c r="AF81" s="87"/>
      <c r="AG81" s="87"/>
      <c r="AH81" s="87"/>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row>
    <row r="82" spans="1:60" x14ac:dyDescent="0.25">
      <c r="A82" s="87"/>
      <c r="B82" s="87"/>
      <c r="C82" s="87"/>
      <c r="D82" s="87"/>
      <c r="E82" s="87"/>
      <c r="F82" s="87"/>
      <c r="G82" s="87"/>
      <c r="H82" s="87"/>
      <c r="I82" s="87"/>
      <c r="J82" s="87"/>
      <c r="K82" s="87"/>
      <c r="L82" s="87"/>
      <c r="M82" s="87"/>
      <c r="N82" s="87"/>
      <c r="O82" s="87"/>
      <c r="P82" s="87"/>
      <c r="Q82" s="87"/>
      <c r="R82" s="87"/>
      <c r="S82" s="87"/>
      <c r="T82" s="87"/>
      <c r="U82" s="87"/>
      <c r="V82" s="87"/>
      <c r="W82" s="87"/>
      <c r="X82" s="87"/>
      <c r="Y82" s="87"/>
      <c r="Z82" s="87"/>
      <c r="AA82" s="87"/>
      <c r="AB82" s="87"/>
      <c r="AC82" s="87"/>
      <c r="AD82" s="87"/>
      <c r="AE82" s="87"/>
      <c r="AF82" s="87"/>
      <c r="AG82" s="87"/>
      <c r="AH82" s="87"/>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row>
    <row r="83" spans="1:60" x14ac:dyDescent="0.25">
      <c r="A83" s="87"/>
      <c r="B83" s="87"/>
      <c r="C83" s="87"/>
      <c r="D83" s="87"/>
      <c r="E83" s="87"/>
      <c r="F83" s="87"/>
      <c r="G83" s="87"/>
      <c r="H83" s="87"/>
      <c r="I83" s="87"/>
      <c r="J83" s="87"/>
      <c r="K83" s="87"/>
      <c r="L83" s="87"/>
      <c r="M83" s="87"/>
      <c r="N83" s="87"/>
      <c r="O83" s="87"/>
      <c r="P83" s="87"/>
      <c r="Q83" s="87"/>
      <c r="R83" s="87"/>
      <c r="S83" s="87"/>
      <c r="T83" s="87"/>
      <c r="U83" s="87"/>
      <c r="V83" s="87"/>
      <c r="W83" s="87"/>
      <c r="X83" s="87"/>
      <c r="Y83" s="87"/>
      <c r="Z83" s="87"/>
      <c r="AA83" s="87"/>
      <c r="AB83" s="87"/>
      <c r="AC83" s="87"/>
      <c r="AD83" s="87"/>
      <c r="AE83" s="87"/>
      <c r="AF83" s="87"/>
      <c r="AG83" s="87"/>
      <c r="AH83" s="87"/>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row>
    <row r="84" spans="1:60" x14ac:dyDescent="0.25">
      <c r="A84" s="87"/>
      <c r="B84" s="87"/>
      <c r="C84" s="87"/>
      <c r="D84" s="87"/>
      <c r="E84" s="87"/>
      <c r="F84" s="87"/>
      <c r="G84" s="87"/>
      <c r="H84" s="87"/>
      <c r="I84" s="87"/>
      <c r="J84" s="87"/>
      <c r="K84" s="87"/>
      <c r="L84" s="87"/>
      <c r="M84" s="87"/>
      <c r="N84" s="87"/>
      <c r="O84" s="87"/>
      <c r="P84" s="87"/>
      <c r="Q84" s="87"/>
      <c r="R84" s="87"/>
      <c r="S84" s="87"/>
      <c r="T84" s="87"/>
      <c r="U84" s="87"/>
      <c r="V84" s="87"/>
      <c r="W84" s="87"/>
      <c r="X84" s="87"/>
      <c r="Y84" s="87"/>
      <c r="Z84" s="87"/>
      <c r="AA84" s="87"/>
      <c r="AB84" s="87"/>
      <c r="AC84" s="87"/>
      <c r="AD84" s="87"/>
      <c r="AE84" s="87"/>
      <c r="AF84" s="87"/>
      <c r="AG84" s="87"/>
      <c r="AH84" s="87"/>
      <c r="AI84" s="87"/>
      <c r="AJ84" s="87"/>
      <c r="AK84" s="87"/>
      <c r="AL84" s="87"/>
      <c r="AM84" s="87"/>
      <c r="AN84" s="87"/>
      <c r="AO84" s="87"/>
      <c r="AP84" s="87"/>
      <c r="AQ84" s="87"/>
      <c r="AR84" s="87"/>
      <c r="AS84" s="87"/>
      <c r="AT84" s="87"/>
      <c r="AU84" s="87"/>
      <c r="AV84" s="87"/>
      <c r="AW84" s="87"/>
      <c r="AX84" s="87"/>
      <c r="AY84" s="87"/>
      <c r="AZ84" s="87"/>
      <c r="BA84" s="87"/>
      <c r="BB84" s="87"/>
      <c r="BC84" s="87"/>
      <c r="BD84" s="87"/>
      <c r="BE84" s="87"/>
      <c r="BF84" s="87"/>
      <c r="BG84" s="87"/>
      <c r="BH84" s="87"/>
    </row>
    <row r="85" spans="1:60" x14ac:dyDescent="0.25">
      <c r="A85" s="87"/>
      <c r="B85" s="87"/>
      <c r="C85" s="87"/>
      <c r="D85" s="87"/>
      <c r="E85" s="87"/>
      <c r="F85" s="87"/>
      <c r="G85" s="87"/>
      <c r="H85" s="87"/>
      <c r="I85" s="87"/>
      <c r="J85" s="87"/>
      <c r="K85" s="87"/>
      <c r="L85" s="87"/>
      <c r="M85" s="87"/>
      <c r="N85" s="87"/>
      <c r="O85" s="87"/>
      <c r="P85" s="87"/>
      <c r="Q85" s="87"/>
      <c r="R85" s="87"/>
      <c r="S85" s="87"/>
      <c r="T85" s="87"/>
      <c r="U85" s="87"/>
      <c r="V85" s="87"/>
      <c r="W85" s="87"/>
      <c r="X85" s="87"/>
      <c r="Y85" s="87"/>
      <c r="Z85" s="87"/>
      <c r="AA85" s="87"/>
      <c r="AB85" s="87"/>
      <c r="AC85" s="87"/>
      <c r="AD85" s="87"/>
      <c r="AE85" s="87"/>
      <c r="AF85" s="87"/>
      <c r="AG85" s="87"/>
      <c r="AH85" s="87"/>
      <c r="AI85" s="87"/>
      <c r="AJ85" s="87"/>
      <c r="AK85" s="87"/>
      <c r="AL85" s="87"/>
      <c r="AM85" s="87"/>
      <c r="AN85" s="87"/>
      <c r="AO85" s="87"/>
      <c r="AP85" s="87"/>
      <c r="AQ85" s="87"/>
      <c r="AR85" s="87"/>
      <c r="AS85" s="87"/>
      <c r="AT85" s="87"/>
      <c r="AU85" s="87"/>
      <c r="AV85" s="87"/>
      <c r="AW85" s="87"/>
      <c r="AX85" s="87"/>
      <c r="AY85" s="87"/>
      <c r="AZ85" s="87"/>
      <c r="BA85" s="87"/>
      <c r="BB85" s="87"/>
      <c r="BC85" s="87"/>
      <c r="BD85" s="87"/>
      <c r="BE85" s="87"/>
      <c r="BF85" s="87"/>
      <c r="BG85" s="87"/>
      <c r="BH85" s="87"/>
    </row>
    <row r="86" spans="1:60" x14ac:dyDescent="0.25">
      <c r="A86" s="87"/>
      <c r="B86" s="87"/>
      <c r="C86" s="87"/>
      <c r="D86" s="87"/>
      <c r="E86" s="87"/>
      <c r="F86" s="87"/>
      <c r="G86" s="87"/>
      <c r="H86" s="87"/>
      <c r="I86" s="87"/>
      <c r="J86" s="87"/>
      <c r="K86" s="87"/>
      <c r="L86" s="87"/>
      <c r="M86" s="87"/>
      <c r="N86" s="87"/>
      <c r="O86" s="87"/>
      <c r="P86" s="87"/>
      <c r="Q86" s="87"/>
      <c r="R86" s="87"/>
      <c r="S86" s="87"/>
      <c r="T86" s="87"/>
      <c r="U86" s="87"/>
      <c r="V86" s="87"/>
      <c r="W86" s="87"/>
      <c r="X86" s="87"/>
      <c r="Y86" s="87"/>
      <c r="Z86" s="87"/>
      <c r="AA86" s="87"/>
      <c r="AB86" s="87"/>
      <c r="AC86" s="87"/>
      <c r="AD86" s="87"/>
      <c r="AE86" s="87"/>
      <c r="AF86" s="87"/>
      <c r="AG86" s="87"/>
      <c r="AH86" s="87"/>
      <c r="AI86" s="87"/>
      <c r="AJ86" s="87"/>
      <c r="AK86" s="87"/>
      <c r="AL86" s="87"/>
      <c r="AM86" s="87"/>
      <c r="AN86" s="87"/>
      <c r="AO86" s="87"/>
      <c r="AP86" s="87"/>
      <c r="AQ86" s="87"/>
      <c r="AR86" s="87"/>
      <c r="AS86" s="87"/>
      <c r="AT86" s="87"/>
      <c r="AU86" s="87"/>
      <c r="AV86" s="87"/>
      <c r="AW86" s="87"/>
      <c r="AX86" s="87"/>
      <c r="AY86" s="87"/>
      <c r="AZ86" s="87"/>
      <c r="BA86" s="87"/>
      <c r="BB86" s="87"/>
      <c r="BC86" s="87"/>
      <c r="BD86" s="87"/>
      <c r="BE86" s="87"/>
      <c r="BF86" s="87"/>
      <c r="BG86" s="87"/>
      <c r="BH86" s="87"/>
    </row>
    <row r="87" spans="1:60" x14ac:dyDescent="0.25">
      <c r="A87" s="87"/>
      <c r="B87" s="87"/>
      <c r="C87" s="87"/>
      <c r="D87" s="87"/>
      <c r="E87" s="87"/>
      <c r="F87" s="87"/>
      <c r="G87" s="87"/>
      <c r="H87" s="87"/>
      <c r="I87" s="87"/>
      <c r="J87" s="87"/>
      <c r="K87" s="87"/>
      <c r="L87" s="87"/>
      <c r="M87" s="87"/>
      <c r="N87" s="87"/>
      <c r="O87" s="87"/>
      <c r="P87" s="87"/>
      <c r="Q87" s="87"/>
      <c r="R87" s="87"/>
      <c r="S87" s="87"/>
      <c r="T87" s="87"/>
      <c r="U87" s="87"/>
      <c r="V87" s="87"/>
      <c r="W87" s="87"/>
      <c r="X87" s="87"/>
      <c r="Y87" s="87"/>
      <c r="Z87" s="87"/>
      <c r="AA87" s="87"/>
      <c r="AB87" s="87"/>
      <c r="AC87" s="87"/>
      <c r="AD87" s="87"/>
      <c r="AE87" s="87"/>
      <c r="AF87" s="87"/>
      <c r="AG87" s="87"/>
      <c r="AH87" s="87"/>
      <c r="AI87" s="87"/>
      <c r="AJ87" s="87"/>
      <c r="AK87" s="87"/>
      <c r="AL87" s="87"/>
      <c r="AM87" s="87"/>
      <c r="AN87" s="87"/>
      <c r="AO87" s="87"/>
      <c r="AP87" s="87"/>
      <c r="AQ87" s="87"/>
      <c r="AR87" s="87"/>
      <c r="AS87" s="87"/>
      <c r="AT87" s="87"/>
      <c r="AU87" s="87"/>
      <c r="AV87" s="87"/>
      <c r="AW87" s="87"/>
      <c r="AX87" s="87"/>
      <c r="AY87" s="87"/>
      <c r="AZ87" s="87"/>
      <c r="BA87" s="87"/>
      <c r="BB87" s="87"/>
      <c r="BC87" s="87"/>
      <c r="BD87" s="87"/>
      <c r="BE87" s="87"/>
      <c r="BF87" s="87"/>
      <c r="BG87" s="87"/>
      <c r="BH87" s="87"/>
    </row>
    <row r="88" spans="1:60" x14ac:dyDescent="0.25">
      <c r="A88" s="87"/>
      <c r="B88" s="87"/>
      <c r="C88" s="87"/>
      <c r="D88" s="87"/>
      <c r="E88" s="87"/>
      <c r="F88" s="87"/>
      <c r="G88" s="87"/>
      <c r="H88" s="87"/>
      <c r="I88" s="87"/>
      <c r="J88" s="87"/>
      <c r="K88" s="87"/>
      <c r="L88" s="87"/>
      <c r="M88" s="87"/>
      <c r="N88" s="87"/>
      <c r="O88" s="87"/>
      <c r="P88" s="87"/>
      <c r="Q88" s="87"/>
      <c r="R88" s="87"/>
      <c r="S88" s="87"/>
      <c r="T88" s="87"/>
      <c r="U88" s="87"/>
      <c r="V88" s="87"/>
      <c r="W88" s="87"/>
      <c r="X88" s="87"/>
      <c r="Y88" s="87"/>
      <c r="Z88" s="87"/>
      <c r="AA88" s="87"/>
      <c r="AB88" s="87"/>
      <c r="AC88" s="87"/>
      <c r="AD88" s="87"/>
      <c r="AE88" s="87"/>
      <c r="AF88" s="87"/>
      <c r="AG88" s="87"/>
      <c r="AH88" s="87"/>
      <c r="AI88" s="87"/>
      <c r="AJ88" s="87"/>
      <c r="AK88" s="87"/>
      <c r="AL88" s="87"/>
      <c r="AM88" s="87"/>
      <c r="AN88" s="87"/>
      <c r="AO88" s="87"/>
      <c r="AP88" s="87"/>
      <c r="AQ88" s="87"/>
      <c r="AR88" s="87"/>
      <c r="AS88" s="87"/>
      <c r="AT88" s="87"/>
      <c r="AU88" s="87"/>
      <c r="AV88" s="87"/>
      <c r="AW88" s="87"/>
      <c r="AX88" s="87"/>
      <c r="AY88" s="87"/>
      <c r="AZ88" s="87"/>
      <c r="BA88" s="87"/>
      <c r="BB88" s="87"/>
      <c r="BC88" s="87"/>
      <c r="BD88" s="87"/>
      <c r="BE88" s="87"/>
      <c r="BF88" s="87"/>
      <c r="BG88" s="87"/>
      <c r="BH88" s="87"/>
    </row>
    <row r="89" spans="1:60" x14ac:dyDescent="0.25">
      <c r="A89" s="87"/>
      <c r="B89" s="87"/>
      <c r="C89" s="87"/>
      <c r="D89" s="87"/>
      <c r="E89" s="87"/>
      <c r="F89" s="87"/>
      <c r="G89" s="87"/>
      <c r="H89" s="87"/>
      <c r="I89" s="87"/>
      <c r="J89" s="87"/>
      <c r="K89" s="87"/>
      <c r="L89" s="87"/>
      <c r="M89" s="87"/>
      <c r="N89" s="87"/>
      <c r="O89" s="87"/>
      <c r="P89" s="87"/>
      <c r="Q89" s="87"/>
      <c r="R89" s="87"/>
      <c r="S89" s="87"/>
      <c r="T89" s="87"/>
      <c r="U89" s="87"/>
      <c r="V89" s="87"/>
      <c r="W89" s="87"/>
      <c r="X89" s="87"/>
      <c r="Y89" s="87"/>
      <c r="Z89" s="87"/>
      <c r="AA89" s="87"/>
      <c r="AB89" s="87"/>
      <c r="AC89" s="87"/>
      <c r="AD89" s="87"/>
      <c r="AE89" s="87"/>
      <c r="AF89" s="87"/>
      <c r="AG89" s="87"/>
      <c r="AH89" s="87"/>
      <c r="AI89" s="87"/>
      <c r="AJ89" s="87"/>
      <c r="AK89" s="87"/>
      <c r="AL89" s="87"/>
      <c r="AM89" s="87"/>
      <c r="AN89" s="87"/>
      <c r="AO89" s="87"/>
      <c r="AP89" s="87"/>
      <c r="AQ89" s="87"/>
      <c r="AR89" s="87"/>
      <c r="AS89" s="87"/>
      <c r="AT89" s="87"/>
      <c r="AU89" s="87"/>
      <c r="AV89" s="87"/>
      <c r="AW89" s="87"/>
      <c r="AX89" s="87"/>
      <c r="AY89" s="87"/>
      <c r="AZ89" s="87"/>
      <c r="BA89" s="87"/>
      <c r="BB89" s="87"/>
      <c r="BC89" s="87"/>
      <c r="BD89" s="87"/>
      <c r="BE89" s="87"/>
      <c r="BF89" s="87"/>
      <c r="BG89" s="87"/>
      <c r="BH89" s="87"/>
    </row>
    <row r="90" spans="1:60" x14ac:dyDescent="0.25">
      <c r="A90" s="87"/>
      <c r="B90" s="87"/>
      <c r="C90" s="87"/>
      <c r="D90" s="87"/>
      <c r="E90" s="87"/>
      <c r="F90" s="87"/>
      <c r="G90" s="87"/>
      <c r="H90" s="87"/>
      <c r="I90" s="87"/>
      <c r="J90" s="87"/>
      <c r="K90" s="87"/>
      <c r="L90" s="87"/>
      <c r="M90" s="87"/>
      <c r="N90" s="87"/>
      <c r="O90" s="87"/>
      <c r="P90" s="87"/>
      <c r="Q90" s="87"/>
      <c r="R90" s="87"/>
      <c r="S90" s="87"/>
      <c r="T90" s="87"/>
      <c r="U90" s="87"/>
      <c r="V90" s="87"/>
      <c r="W90" s="87"/>
      <c r="X90" s="87"/>
      <c r="Y90" s="87"/>
      <c r="Z90" s="87"/>
      <c r="AA90" s="87"/>
      <c r="AB90" s="87"/>
      <c r="AC90" s="87"/>
      <c r="AD90" s="87"/>
      <c r="AE90" s="87"/>
      <c r="AF90" s="87"/>
      <c r="AG90" s="87"/>
      <c r="AH90" s="87"/>
      <c r="AI90" s="87"/>
      <c r="AJ90" s="87"/>
      <c r="AK90" s="87"/>
      <c r="AL90" s="87"/>
      <c r="AM90" s="87"/>
      <c r="AN90" s="87"/>
      <c r="AO90" s="87"/>
      <c r="AP90" s="87"/>
      <c r="AQ90" s="87"/>
      <c r="AR90" s="87"/>
      <c r="AS90" s="87"/>
      <c r="AT90" s="87"/>
      <c r="AU90" s="87"/>
      <c r="AV90" s="87"/>
      <c r="AW90" s="87"/>
      <c r="AX90" s="87"/>
      <c r="AY90" s="87"/>
      <c r="AZ90" s="87"/>
      <c r="BA90" s="87"/>
      <c r="BB90" s="87"/>
      <c r="BC90" s="87"/>
      <c r="BD90" s="87"/>
      <c r="BE90" s="87"/>
      <c r="BF90" s="87"/>
      <c r="BG90" s="87"/>
      <c r="BH90" s="87"/>
    </row>
    <row r="91" spans="1:60" x14ac:dyDescent="0.25">
      <c r="A91" s="87"/>
      <c r="B91" s="87"/>
      <c r="C91" s="87"/>
      <c r="D91" s="87"/>
      <c r="E91" s="87"/>
      <c r="F91" s="87"/>
      <c r="G91" s="87"/>
      <c r="H91" s="87"/>
      <c r="I91" s="87"/>
      <c r="J91" s="87"/>
      <c r="K91" s="87"/>
      <c r="L91" s="87"/>
      <c r="M91" s="87"/>
      <c r="N91" s="87"/>
      <c r="O91" s="87"/>
      <c r="P91" s="87"/>
      <c r="Q91" s="87"/>
      <c r="R91" s="87"/>
      <c r="S91" s="87"/>
      <c r="T91" s="87"/>
      <c r="U91" s="87"/>
      <c r="V91" s="87"/>
      <c r="W91" s="87"/>
      <c r="X91" s="87"/>
      <c r="Y91" s="87"/>
      <c r="Z91" s="87"/>
      <c r="AA91" s="87"/>
      <c r="AB91" s="87"/>
      <c r="AC91" s="87"/>
      <c r="AD91" s="87"/>
      <c r="AE91" s="87"/>
      <c r="AF91" s="87"/>
      <c r="AG91" s="87"/>
      <c r="AH91" s="87"/>
      <c r="AI91" s="87"/>
      <c r="AJ91" s="87"/>
      <c r="AK91" s="87"/>
      <c r="AL91" s="87"/>
      <c r="AM91" s="87"/>
      <c r="AN91" s="87"/>
      <c r="AO91" s="87"/>
      <c r="AP91" s="87"/>
      <c r="AQ91" s="87"/>
      <c r="AR91" s="87"/>
      <c r="AS91" s="87"/>
      <c r="AT91" s="87"/>
      <c r="AU91" s="87"/>
      <c r="AV91" s="87"/>
      <c r="AW91" s="87"/>
      <c r="AX91" s="87"/>
      <c r="AY91" s="87"/>
      <c r="AZ91" s="87"/>
      <c r="BA91" s="87"/>
      <c r="BB91" s="87"/>
      <c r="BC91" s="87"/>
      <c r="BD91" s="87"/>
      <c r="BE91" s="87"/>
      <c r="BF91" s="87"/>
      <c r="BG91" s="87"/>
      <c r="BH91" s="87"/>
    </row>
    <row r="92" spans="1:60" x14ac:dyDescent="0.25">
      <c r="A92" s="87"/>
      <c r="B92" s="87"/>
      <c r="C92" s="87"/>
      <c r="D92" s="87"/>
      <c r="E92" s="87"/>
      <c r="F92" s="87"/>
      <c r="G92" s="87"/>
      <c r="H92" s="87"/>
      <c r="I92" s="87"/>
      <c r="J92" s="87"/>
      <c r="K92" s="87"/>
      <c r="L92" s="87"/>
      <c r="M92" s="87"/>
      <c r="N92" s="87"/>
      <c r="O92" s="87"/>
      <c r="P92" s="87"/>
      <c r="Q92" s="87"/>
      <c r="R92" s="87"/>
      <c r="S92" s="87"/>
      <c r="T92" s="87"/>
      <c r="U92" s="87"/>
      <c r="V92" s="87"/>
      <c r="W92" s="87"/>
      <c r="X92" s="87"/>
      <c r="Y92" s="87"/>
      <c r="Z92" s="87"/>
      <c r="AA92" s="87"/>
      <c r="AB92" s="87"/>
      <c r="AC92" s="87"/>
      <c r="AD92" s="87"/>
      <c r="AE92" s="87"/>
      <c r="AF92" s="87"/>
      <c r="AG92" s="87"/>
      <c r="AH92" s="87"/>
      <c r="AI92" s="87"/>
      <c r="AJ92" s="87"/>
      <c r="AK92" s="87"/>
      <c r="AL92" s="87"/>
      <c r="AM92" s="87"/>
      <c r="AN92" s="87"/>
      <c r="AO92" s="87"/>
      <c r="AP92" s="87"/>
      <c r="AQ92" s="87"/>
      <c r="AR92" s="87"/>
      <c r="AS92" s="87"/>
      <c r="AT92" s="87"/>
      <c r="AU92" s="87"/>
      <c r="AV92" s="87"/>
      <c r="AW92" s="87"/>
      <c r="AX92" s="87"/>
      <c r="AY92" s="87"/>
      <c r="AZ92" s="87"/>
      <c r="BA92" s="87"/>
      <c r="BB92" s="87"/>
      <c r="BC92" s="87"/>
      <c r="BD92" s="87"/>
      <c r="BE92" s="87"/>
      <c r="BF92" s="87"/>
      <c r="BG92" s="87"/>
      <c r="BH92" s="87"/>
    </row>
    <row r="93" spans="1:60" x14ac:dyDescent="0.25">
      <c r="A93" s="87"/>
      <c r="B93" s="87"/>
      <c r="C93" s="87"/>
      <c r="D93" s="87"/>
      <c r="E93" s="87"/>
      <c r="F93" s="87"/>
      <c r="G93" s="87"/>
      <c r="H93" s="87"/>
      <c r="I93" s="87"/>
      <c r="J93" s="87"/>
      <c r="K93" s="87"/>
      <c r="L93" s="87"/>
      <c r="M93" s="87"/>
      <c r="N93" s="87"/>
      <c r="O93" s="87"/>
      <c r="P93" s="87"/>
      <c r="Q93" s="87"/>
      <c r="R93" s="87"/>
      <c r="S93" s="87"/>
      <c r="T93" s="87"/>
      <c r="U93" s="87"/>
      <c r="V93" s="87"/>
      <c r="W93" s="87"/>
      <c r="X93" s="87"/>
      <c r="Y93" s="87"/>
      <c r="Z93" s="87"/>
      <c r="AA93" s="87"/>
      <c r="AB93" s="87"/>
      <c r="AC93" s="87"/>
      <c r="AD93" s="87"/>
      <c r="AE93" s="87"/>
      <c r="AF93" s="87"/>
      <c r="AG93" s="87"/>
      <c r="AH93" s="87"/>
      <c r="AI93" s="87"/>
      <c r="AJ93" s="87"/>
      <c r="AK93" s="87"/>
      <c r="AL93" s="87"/>
      <c r="AM93" s="87"/>
      <c r="AN93" s="87"/>
      <c r="AO93" s="87"/>
      <c r="AP93" s="87"/>
      <c r="AQ93" s="87"/>
      <c r="AR93" s="87"/>
      <c r="AS93" s="87"/>
      <c r="AT93" s="87"/>
      <c r="AU93" s="87"/>
      <c r="AV93" s="87"/>
      <c r="AW93" s="87"/>
      <c r="AX93" s="87"/>
      <c r="AY93" s="87"/>
      <c r="AZ93" s="87"/>
      <c r="BA93" s="87"/>
      <c r="BB93" s="87"/>
      <c r="BC93" s="87"/>
      <c r="BD93" s="87"/>
      <c r="BE93" s="87"/>
      <c r="BF93" s="87"/>
      <c r="BG93" s="87"/>
      <c r="BH93" s="87"/>
    </row>
    <row r="94" spans="1:60" x14ac:dyDescent="0.25">
      <c r="A94" s="87"/>
      <c r="B94" s="87"/>
      <c r="C94" s="87"/>
      <c r="D94" s="87"/>
      <c r="E94" s="87"/>
      <c r="F94" s="87"/>
      <c r="G94" s="87"/>
      <c r="H94" s="87"/>
      <c r="I94" s="87"/>
      <c r="J94" s="87"/>
      <c r="K94" s="87"/>
      <c r="L94" s="87"/>
      <c r="M94" s="87"/>
      <c r="N94" s="87"/>
      <c r="O94" s="87"/>
      <c r="P94" s="87"/>
      <c r="Q94" s="87"/>
      <c r="R94" s="87"/>
      <c r="S94" s="87"/>
      <c r="T94" s="87"/>
      <c r="U94" s="87"/>
      <c r="V94" s="87"/>
      <c r="W94" s="87"/>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c r="AY94" s="87"/>
      <c r="AZ94" s="87"/>
      <c r="BA94" s="87"/>
      <c r="BB94" s="87"/>
      <c r="BC94" s="87"/>
      <c r="BD94" s="87"/>
      <c r="BE94" s="87"/>
      <c r="BF94" s="87"/>
      <c r="BG94" s="87"/>
      <c r="BH94" s="87"/>
    </row>
    <row r="95" spans="1:60" x14ac:dyDescent="0.25">
      <c r="A95" s="87"/>
      <c r="B95" s="87"/>
      <c r="C95" s="87"/>
      <c r="D95" s="87"/>
      <c r="E95" s="87"/>
      <c r="F95" s="87"/>
      <c r="G95" s="87"/>
      <c r="H95" s="87"/>
      <c r="I95" s="87"/>
      <c r="J95" s="87"/>
      <c r="K95" s="87"/>
      <c r="L95" s="87"/>
      <c r="M95" s="87"/>
      <c r="N95" s="87"/>
      <c r="O95" s="87"/>
      <c r="P95" s="87"/>
      <c r="Q95" s="87"/>
      <c r="R95" s="87"/>
      <c r="S95" s="87"/>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row>
    <row r="96" spans="1:60" x14ac:dyDescent="0.25">
      <c r="A96" s="87"/>
      <c r="B96" s="87"/>
      <c r="C96" s="87"/>
      <c r="D96" s="87"/>
      <c r="E96" s="87"/>
      <c r="F96" s="87"/>
      <c r="G96" s="87"/>
      <c r="H96" s="87"/>
      <c r="I96" s="87"/>
      <c r="J96" s="87"/>
      <c r="K96" s="87"/>
      <c r="L96" s="87"/>
      <c r="M96" s="87"/>
      <c r="N96" s="87"/>
      <c r="O96" s="87"/>
      <c r="P96" s="87"/>
      <c r="Q96" s="87"/>
      <c r="R96" s="87"/>
      <c r="S96" s="87"/>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row>
    <row r="97" spans="1:60" x14ac:dyDescent="0.25">
      <c r="A97" s="87"/>
      <c r="B97" s="87"/>
      <c r="C97" s="87"/>
      <c r="D97" s="87"/>
      <c r="E97" s="87"/>
      <c r="F97" s="87"/>
      <c r="G97" s="87"/>
      <c r="H97" s="87"/>
      <c r="I97" s="87"/>
      <c r="J97" s="87"/>
      <c r="K97" s="87"/>
      <c r="L97" s="87"/>
      <c r="M97" s="87"/>
      <c r="N97" s="87"/>
      <c r="O97" s="87"/>
      <c r="P97" s="87"/>
      <c r="Q97" s="87"/>
      <c r="R97" s="87"/>
      <c r="S97" s="87"/>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row>
    <row r="98" spans="1:60" x14ac:dyDescent="0.25">
      <c r="A98" s="87"/>
      <c r="B98" s="87"/>
      <c r="C98" s="87"/>
      <c r="D98" s="87"/>
      <c r="E98" s="87"/>
      <c r="F98" s="87"/>
      <c r="G98" s="87"/>
      <c r="H98" s="87"/>
      <c r="I98" s="87"/>
      <c r="J98" s="87"/>
      <c r="K98" s="87"/>
      <c r="L98" s="87"/>
      <c r="M98" s="87"/>
      <c r="N98" s="87"/>
      <c r="O98" s="87"/>
      <c r="P98" s="87"/>
      <c r="Q98" s="87"/>
      <c r="R98" s="87"/>
      <c r="S98" s="87"/>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row>
    <row r="99" spans="1:60" x14ac:dyDescent="0.25">
      <c r="A99" s="87"/>
      <c r="B99" s="87"/>
      <c r="C99" s="87"/>
      <c r="D99" s="87"/>
      <c r="E99" s="87"/>
      <c r="F99" s="87"/>
      <c r="G99" s="87"/>
      <c r="H99" s="87"/>
      <c r="I99" s="87"/>
      <c r="J99" s="87"/>
      <c r="K99" s="87"/>
      <c r="L99" s="87"/>
      <c r="M99" s="87"/>
      <c r="N99" s="87"/>
      <c r="O99" s="87"/>
      <c r="P99" s="87"/>
      <c r="Q99" s="87"/>
      <c r="R99" s="87"/>
      <c r="S99" s="87"/>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row>
    <row r="100" spans="1:60" x14ac:dyDescent="0.25">
      <c r="A100" s="87"/>
      <c r="B100" s="87"/>
      <c r="C100" s="87"/>
      <c r="D100" s="87"/>
      <c r="E100" s="87"/>
      <c r="F100" s="87"/>
      <c r="G100" s="87"/>
      <c r="H100" s="87"/>
      <c r="I100" s="87"/>
      <c r="J100" s="87"/>
      <c r="K100" s="87"/>
      <c r="L100" s="87"/>
      <c r="M100" s="87"/>
      <c r="N100" s="87"/>
      <c r="O100" s="87"/>
      <c r="P100" s="87"/>
      <c r="Q100" s="87"/>
      <c r="R100" s="87"/>
      <c r="S100" s="87"/>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row>
    <row r="101" spans="1:60" x14ac:dyDescent="0.25">
      <c r="A101" s="87"/>
      <c r="B101" s="87"/>
      <c r="C101" s="87"/>
      <c r="D101" s="87"/>
      <c r="E101" s="87"/>
      <c r="F101" s="87"/>
      <c r="G101" s="87"/>
      <c r="H101" s="87"/>
      <c r="I101" s="87"/>
      <c r="J101" s="87"/>
      <c r="K101" s="87"/>
      <c r="L101" s="87"/>
      <c r="M101" s="87"/>
      <c r="N101" s="87"/>
      <c r="O101" s="87"/>
      <c r="P101" s="87"/>
      <c r="Q101" s="87"/>
      <c r="R101" s="87"/>
      <c r="S101" s="87"/>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row>
    <row r="102" spans="1:60" x14ac:dyDescent="0.25">
      <c r="A102" s="87"/>
      <c r="B102" s="87"/>
      <c r="C102" s="87"/>
      <c r="D102" s="87"/>
      <c r="E102" s="87"/>
      <c r="F102" s="87"/>
      <c r="G102" s="87"/>
      <c r="H102" s="87"/>
      <c r="I102" s="87"/>
      <c r="J102" s="87"/>
      <c r="K102" s="87"/>
      <c r="L102" s="87"/>
      <c r="M102" s="87"/>
      <c r="N102" s="87"/>
      <c r="O102" s="87"/>
      <c r="P102" s="87"/>
      <c r="Q102" s="87"/>
      <c r="R102" s="87"/>
      <c r="S102" s="87"/>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c r="BC102" s="87"/>
      <c r="BD102" s="87"/>
      <c r="BE102" s="87"/>
      <c r="BF102" s="87"/>
      <c r="BG102" s="87"/>
      <c r="BH102" s="87"/>
    </row>
    <row r="103" spans="1:60" x14ac:dyDescent="0.25">
      <c r="A103" s="87"/>
      <c r="B103" s="87"/>
      <c r="C103" s="87"/>
      <c r="D103" s="87"/>
      <c r="E103" s="87"/>
      <c r="F103" s="87"/>
      <c r="G103" s="87"/>
      <c r="H103" s="87"/>
      <c r="I103" s="87"/>
      <c r="J103" s="87"/>
      <c r="K103" s="87"/>
      <c r="L103" s="87"/>
      <c r="M103" s="87"/>
      <c r="N103" s="87"/>
      <c r="O103" s="87"/>
      <c r="P103" s="87"/>
      <c r="Q103" s="87"/>
      <c r="R103" s="87"/>
      <c r="S103" s="87"/>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row>
    <row r="104" spans="1:60" x14ac:dyDescent="0.25">
      <c r="A104" s="87"/>
      <c r="B104" s="87"/>
      <c r="C104" s="87"/>
      <c r="D104" s="87"/>
      <c r="E104" s="87"/>
      <c r="F104" s="87"/>
      <c r="G104" s="87"/>
      <c r="H104" s="87"/>
      <c r="I104" s="87"/>
      <c r="J104" s="87"/>
      <c r="K104" s="87"/>
      <c r="L104" s="87"/>
      <c r="M104" s="87"/>
      <c r="N104" s="87"/>
      <c r="O104" s="87"/>
      <c r="P104" s="87"/>
      <c r="Q104" s="87"/>
      <c r="R104" s="87"/>
      <c r="S104" s="87"/>
      <c r="T104" s="87"/>
      <c r="U104" s="87"/>
      <c r="V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row>
    <row r="105" spans="1:60" x14ac:dyDescent="0.25">
      <c r="A105" s="87"/>
      <c r="B105" s="87"/>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row>
    <row r="106" spans="1:60" x14ac:dyDescent="0.25">
      <c r="A106" s="87"/>
      <c r="B106" s="87"/>
      <c r="C106" s="87"/>
      <c r="D106" s="87"/>
      <c r="E106" s="87"/>
      <c r="F106" s="87"/>
      <c r="G106" s="87"/>
      <c r="H106" s="87"/>
      <c r="I106" s="87"/>
      <c r="J106" s="87"/>
      <c r="K106" s="87"/>
      <c r="L106" s="87"/>
      <c r="M106" s="87"/>
      <c r="N106" s="87"/>
      <c r="O106" s="87"/>
      <c r="P106" s="87"/>
      <c r="Q106" s="87"/>
      <c r="R106" s="87"/>
      <c r="S106" s="87"/>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row>
    <row r="107" spans="1:60" x14ac:dyDescent="0.25">
      <c r="A107" s="87"/>
      <c r="B107" s="87"/>
      <c r="C107" s="87"/>
      <c r="D107" s="87"/>
      <c r="E107" s="87"/>
      <c r="F107" s="87"/>
      <c r="G107" s="87"/>
      <c r="H107" s="87"/>
      <c r="I107" s="87"/>
      <c r="J107" s="87"/>
      <c r="K107" s="87"/>
      <c r="L107" s="87"/>
      <c r="M107" s="87"/>
      <c r="N107" s="87"/>
      <c r="O107" s="87"/>
      <c r="P107" s="87"/>
      <c r="Q107" s="87"/>
      <c r="R107" s="87"/>
      <c r="S107" s="87"/>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row>
    <row r="108" spans="1:60" x14ac:dyDescent="0.25">
      <c r="A108" s="87"/>
      <c r="B108" s="87"/>
      <c r="C108" s="87"/>
      <c r="D108" s="87"/>
      <c r="E108" s="87"/>
      <c r="F108" s="87"/>
      <c r="G108" s="87"/>
      <c r="H108" s="87"/>
      <c r="I108" s="87"/>
      <c r="J108" s="87"/>
      <c r="K108" s="87"/>
      <c r="L108" s="87"/>
      <c r="M108" s="87"/>
      <c r="N108" s="87"/>
      <c r="O108" s="87"/>
      <c r="P108" s="87"/>
      <c r="Q108" s="87"/>
      <c r="R108" s="87"/>
      <c r="S108" s="87"/>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row>
    <row r="109" spans="1:60" x14ac:dyDescent="0.25">
      <c r="A109" s="87"/>
      <c r="B109" s="87"/>
      <c r="C109" s="87"/>
      <c r="D109" s="87"/>
      <c r="E109" s="87"/>
      <c r="F109" s="87"/>
      <c r="G109" s="87"/>
      <c r="H109" s="87"/>
      <c r="I109" s="87"/>
      <c r="J109" s="87"/>
      <c r="K109" s="87"/>
      <c r="L109" s="87"/>
      <c r="M109" s="87"/>
      <c r="N109" s="87"/>
      <c r="O109" s="87"/>
      <c r="P109" s="87"/>
      <c r="Q109" s="87"/>
      <c r="R109" s="87"/>
      <c r="S109" s="87"/>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row>
    <row r="110" spans="1:60" x14ac:dyDescent="0.25">
      <c r="A110" s="87"/>
      <c r="B110" s="87"/>
      <c r="C110" s="87"/>
      <c r="D110" s="87"/>
      <c r="E110" s="87"/>
      <c r="F110" s="87"/>
      <c r="G110" s="87"/>
      <c r="H110" s="87"/>
      <c r="I110" s="87"/>
      <c r="J110" s="87"/>
      <c r="K110" s="87"/>
      <c r="L110" s="87"/>
      <c r="M110" s="87"/>
      <c r="N110" s="87"/>
      <c r="O110" s="87"/>
      <c r="P110" s="87"/>
      <c r="Q110" s="87"/>
      <c r="R110" s="87"/>
      <c r="S110" s="87"/>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row>
    <row r="111" spans="1:60" x14ac:dyDescent="0.25">
      <c r="A111" s="87"/>
      <c r="B111" s="87"/>
      <c r="C111" s="87"/>
      <c r="D111" s="87"/>
      <c r="E111" s="87"/>
      <c r="F111" s="87"/>
      <c r="G111" s="87"/>
      <c r="H111" s="87"/>
      <c r="I111" s="87"/>
      <c r="J111" s="87"/>
      <c r="K111" s="87"/>
      <c r="L111" s="87"/>
      <c r="M111" s="87"/>
      <c r="N111" s="87"/>
      <c r="O111" s="87"/>
      <c r="P111" s="87"/>
      <c r="Q111" s="87"/>
      <c r="R111" s="87"/>
      <c r="S111" s="87"/>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row>
    <row r="112" spans="1:60" x14ac:dyDescent="0.25">
      <c r="A112" s="87"/>
      <c r="B112" s="87"/>
      <c r="C112" s="87"/>
      <c r="D112" s="87"/>
      <c r="E112" s="87"/>
      <c r="F112" s="87"/>
      <c r="G112" s="87"/>
      <c r="H112" s="87"/>
      <c r="I112" s="87"/>
      <c r="J112" s="87"/>
      <c r="K112" s="87"/>
      <c r="L112" s="87"/>
      <c r="M112" s="87"/>
      <c r="N112" s="87"/>
      <c r="O112" s="87"/>
      <c r="P112" s="87"/>
      <c r="Q112" s="87"/>
      <c r="R112" s="87"/>
      <c r="S112" s="87"/>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row>
    <row r="113" spans="1:60" x14ac:dyDescent="0.25">
      <c r="A113" s="87"/>
      <c r="B113" s="87"/>
      <c r="C113" s="87"/>
      <c r="D113" s="87"/>
      <c r="E113" s="87"/>
      <c r="F113" s="87"/>
      <c r="G113" s="87"/>
      <c r="H113" s="87"/>
      <c r="I113" s="87"/>
      <c r="J113" s="87"/>
      <c r="K113" s="87"/>
      <c r="L113" s="87"/>
      <c r="M113" s="87"/>
      <c r="N113" s="87"/>
      <c r="O113" s="87"/>
      <c r="P113" s="87"/>
      <c r="Q113" s="87"/>
      <c r="R113" s="87"/>
      <c r="S113" s="87"/>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row>
    <row r="114" spans="1:60" x14ac:dyDescent="0.25">
      <c r="A114" s="87"/>
      <c r="B114" s="87"/>
      <c r="C114" s="87"/>
      <c r="D114" s="87"/>
      <c r="E114" s="87"/>
      <c r="F114" s="87"/>
      <c r="G114" s="87"/>
      <c r="H114" s="87"/>
      <c r="I114" s="87"/>
      <c r="J114" s="87"/>
      <c r="K114" s="87"/>
      <c r="L114" s="87"/>
      <c r="M114" s="87"/>
      <c r="N114" s="87"/>
      <c r="O114" s="87"/>
      <c r="P114" s="87"/>
      <c r="Q114" s="87"/>
      <c r="R114" s="87"/>
      <c r="S114" s="87"/>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row>
    <row r="115" spans="1:60" x14ac:dyDescent="0.25">
      <c r="A115" s="87"/>
      <c r="B115" s="87"/>
      <c r="C115" s="87"/>
      <c r="D115" s="87"/>
      <c r="E115" s="87"/>
      <c r="F115" s="87"/>
      <c r="G115" s="87"/>
      <c r="H115" s="87"/>
      <c r="I115" s="87"/>
      <c r="J115" s="87"/>
      <c r="K115" s="87"/>
      <c r="L115" s="87"/>
      <c r="M115" s="87"/>
      <c r="N115" s="87"/>
      <c r="O115" s="87"/>
      <c r="P115" s="87"/>
      <c r="Q115" s="87"/>
      <c r="R115" s="87"/>
      <c r="S115" s="87"/>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row>
    <row r="116" spans="1:60" x14ac:dyDescent="0.25">
      <c r="A116" s="87"/>
      <c r="B116" s="87"/>
      <c r="C116" s="87"/>
      <c r="D116" s="87"/>
      <c r="E116" s="87"/>
      <c r="F116" s="87"/>
      <c r="G116" s="87"/>
      <c r="H116" s="87"/>
      <c r="I116" s="87"/>
      <c r="J116" s="87"/>
      <c r="K116" s="87"/>
      <c r="L116" s="87"/>
      <c r="M116" s="87"/>
      <c r="N116" s="87"/>
      <c r="O116" s="87"/>
      <c r="P116" s="87"/>
      <c r="Q116" s="87"/>
      <c r="R116" s="87"/>
      <c r="S116" s="87"/>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row>
    <row r="117" spans="1:60" x14ac:dyDescent="0.25">
      <c r="A117" s="87"/>
      <c r="B117" s="87"/>
      <c r="C117" s="87"/>
      <c r="D117" s="87"/>
      <c r="E117" s="87"/>
      <c r="F117" s="87"/>
      <c r="G117" s="87"/>
      <c r="H117" s="87"/>
      <c r="I117" s="87"/>
      <c r="J117" s="87"/>
      <c r="K117" s="87"/>
      <c r="L117" s="87"/>
      <c r="M117" s="87"/>
      <c r="N117" s="87"/>
      <c r="O117" s="87"/>
      <c r="P117" s="87"/>
      <c r="Q117" s="87"/>
      <c r="R117" s="87"/>
      <c r="S117" s="87"/>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row>
    <row r="118" spans="1:60" x14ac:dyDescent="0.25">
      <c r="A118" s="87"/>
      <c r="B118" s="87"/>
      <c r="C118" s="87"/>
      <c r="D118" s="87"/>
      <c r="E118" s="87"/>
      <c r="F118" s="87"/>
      <c r="G118" s="87"/>
      <c r="H118" s="87"/>
      <c r="I118" s="87"/>
      <c r="J118" s="87"/>
      <c r="K118" s="87"/>
      <c r="L118" s="87"/>
      <c r="M118" s="87"/>
      <c r="N118" s="87"/>
      <c r="O118" s="87"/>
      <c r="P118" s="87"/>
      <c r="Q118" s="87"/>
      <c r="R118" s="87"/>
      <c r="S118" s="87"/>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row>
    <row r="119" spans="1:60" x14ac:dyDescent="0.25">
      <c r="A119" s="87"/>
      <c r="B119" s="87"/>
      <c r="C119" s="87"/>
      <c r="D119" s="87"/>
      <c r="E119" s="87"/>
      <c r="F119" s="87"/>
      <c r="G119" s="87"/>
      <c r="H119" s="87"/>
      <c r="I119" s="87"/>
      <c r="J119" s="87"/>
      <c r="K119" s="87"/>
      <c r="L119" s="87"/>
      <c r="M119" s="87"/>
      <c r="N119" s="87"/>
      <c r="O119" s="87"/>
      <c r="P119" s="87"/>
      <c r="Q119" s="87"/>
      <c r="R119" s="87"/>
      <c r="S119" s="87"/>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row>
    <row r="120" spans="1:60" x14ac:dyDescent="0.25">
      <c r="A120" s="87"/>
      <c r="B120" s="87"/>
      <c r="C120" s="87"/>
      <c r="D120" s="87"/>
      <c r="E120" s="87"/>
      <c r="F120" s="87"/>
      <c r="G120" s="87"/>
      <c r="H120" s="87"/>
      <c r="I120" s="87"/>
      <c r="J120" s="87"/>
      <c r="K120" s="87"/>
      <c r="L120" s="87"/>
      <c r="M120" s="87"/>
      <c r="N120" s="87"/>
      <c r="O120" s="87"/>
      <c r="P120" s="87"/>
      <c r="Q120" s="87"/>
      <c r="R120" s="87"/>
      <c r="S120" s="87"/>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row>
    <row r="121" spans="1:60" x14ac:dyDescent="0.25">
      <c r="A121" s="87"/>
      <c r="B121" s="87"/>
      <c r="C121" s="87"/>
      <c r="D121" s="87"/>
      <c r="E121" s="87"/>
      <c r="F121" s="87"/>
      <c r="G121" s="87"/>
      <c r="H121" s="87"/>
      <c r="I121" s="87"/>
      <c r="J121" s="87"/>
      <c r="K121" s="87"/>
      <c r="L121" s="87"/>
      <c r="M121" s="87"/>
      <c r="N121" s="87"/>
      <c r="O121" s="87"/>
      <c r="P121" s="87"/>
      <c r="Q121" s="87"/>
      <c r="R121" s="87"/>
      <c r="S121" s="87"/>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row>
    <row r="122" spans="1:60" x14ac:dyDescent="0.25">
      <c r="A122" s="87"/>
      <c r="B122" s="87"/>
      <c r="C122" s="87"/>
      <c r="D122" s="87"/>
      <c r="E122" s="87"/>
      <c r="F122" s="87"/>
      <c r="G122" s="87"/>
      <c r="H122" s="87"/>
      <c r="I122" s="87"/>
      <c r="J122" s="87"/>
      <c r="K122" s="87"/>
      <c r="L122" s="87"/>
      <c r="M122" s="87"/>
      <c r="N122" s="87"/>
      <c r="O122" s="87"/>
      <c r="P122" s="87"/>
      <c r="Q122" s="87"/>
      <c r="R122" s="87"/>
      <c r="S122" s="87"/>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row>
    <row r="123" spans="1:60" x14ac:dyDescent="0.25">
      <c r="A123" s="87"/>
      <c r="B123" s="87"/>
      <c r="C123" s="87"/>
      <c r="D123" s="87"/>
      <c r="E123" s="87"/>
      <c r="F123" s="87"/>
      <c r="G123" s="87"/>
      <c r="H123" s="87"/>
      <c r="I123" s="87"/>
      <c r="J123" s="87"/>
      <c r="K123" s="87"/>
      <c r="L123" s="87"/>
      <c r="M123" s="87"/>
      <c r="N123" s="87"/>
      <c r="O123" s="87"/>
      <c r="P123" s="87"/>
      <c r="Q123" s="87"/>
      <c r="R123" s="87"/>
      <c r="S123" s="87"/>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row>
    <row r="124" spans="1:60" x14ac:dyDescent="0.25">
      <c r="A124" s="87"/>
      <c r="B124" s="87"/>
      <c r="C124" s="87"/>
      <c r="D124" s="87"/>
      <c r="E124" s="87"/>
      <c r="F124" s="87"/>
      <c r="G124" s="87"/>
      <c r="H124" s="87"/>
      <c r="I124" s="87"/>
      <c r="J124" s="87"/>
      <c r="K124" s="87"/>
      <c r="L124" s="87"/>
      <c r="M124" s="87"/>
      <c r="N124" s="87"/>
      <c r="O124" s="87"/>
      <c r="P124" s="87"/>
      <c r="Q124" s="87"/>
      <c r="R124" s="87"/>
      <c r="S124" s="87"/>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row>
    <row r="125" spans="1:60" x14ac:dyDescent="0.25">
      <c r="A125" s="87"/>
      <c r="B125" s="87"/>
      <c r="C125" s="87"/>
      <c r="D125" s="87"/>
      <c r="E125" s="87"/>
      <c r="F125" s="87"/>
      <c r="G125" s="87"/>
      <c r="H125" s="87"/>
      <c r="I125" s="87"/>
      <c r="J125" s="87"/>
      <c r="K125" s="87"/>
      <c r="L125" s="87"/>
      <c r="M125" s="87"/>
      <c r="N125" s="87"/>
      <c r="O125" s="87"/>
      <c r="P125" s="87"/>
      <c r="Q125" s="87"/>
      <c r="R125" s="87"/>
      <c r="S125" s="87"/>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row>
    <row r="126" spans="1:60" x14ac:dyDescent="0.25">
      <c r="A126" s="87"/>
      <c r="B126" s="87"/>
      <c r="C126" s="87"/>
      <c r="D126" s="87"/>
      <c r="E126" s="87"/>
      <c r="F126" s="87"/>
      <c r="G126" s="87"/>
      <c r="H126" s="87"/>
      <c r="I126" s="87"/>
      <c r="J126" s="87"/>
      <c r="K126" s="87"/>
      <c r="L126" s="87"/>
      <c r="M126" s="87"/>
      <c r="N126" s="87"/>
      <c r="O126" s="87"/>
      <c r="P126" s="87"/>
      <c r="Q126" s="87"/>
      <c r="R126" s="87"/>
      <c r="S126" s="87"/>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row>
    <row r="127" spans="1:60" x14ac:dyDescent="0.25">
      <c r="A127" s="87"/>
      <c r="B127" s="87"/>
      <c r="C127" s="87"/>
      <c r="D127" s="87"/>
      <c r="E127" s="87"/>
      <c r="F127" s="87"/>
      <c r="G127" s="87"/>
      <c r="H127" s="87"/>
      <c r="I127" s="87"/>
      <c r="J127" s="87"/>
      <c r="K127" s="87"/>
      <c r="L127" s="87"/>
      <c r="M127" s="87"/>
      <c r="N127" s="87"/>
      <c r="O127" s="87"/>
      <c r="P127" s="87"/>
      <c r="Q127" s="87"/>
      <c r="R127" s="87"/>
      <c r="S127" s="87"/>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row>
    <row r="128" spans="1:60" x14ac:dyDescent="0.25">
      <c r="A128" s="87"/>
      <c r="B128" s="87"/>
      <c r="C128" s="87"/>
      <c r="D128" s="87"/>
      <c r="E128" s="87"/>
      <c r="F128" s="87"/>
      <c r="G128" s="87"/>
      <c r="H128" s="87"/>
      <c r="I128" s="87"/>
      <c r="J128" s="87"/>
      <c r="K128" s="87"/>
      <c r="L128" s="87"/>
      <c r="M128" s="87"/>
      <c r="N128" s="87"/>
      <c r="O128" s="87"/>
      <c r="P128" s="87"/>
      <c r="Q128" s="87"/>
      <c r="R128" s="87"/>
      <c r="S128" s="87"/>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row>
    <row r="129" spans="1:60" x14ac:dyDescent="0.25">
      <c r="A129" s="87"/>
      <c r="B129" s="87"/>
      <c r="C129" s="87"/>
      <c r="D129" s="87"/>
      <c r="E129" s="87"/>
      <c r="F129" s="87"/>
      <c r="G129" s="87"/>
      <c r="H129" s="87"/>
      <c r="I129" s="87"/>
      <c r="J129" s="87"/>
      <c r="K129" s="87"/>
      <c r="L129" s="87"/>
      <c r="M129" s="87"/>
      <c r="N129" s="87"/>
      <c r="O129" s="87"/>
      <c r="P129" s="87"/>
      <c r="Q129" s="87"/>
      <c r="R129" s="87"/>
      <c r="S129" s="87"/>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row>
    <row r="130" spans="1:60" x14ac:dyDescent="0.25">
      <c r="A130" s="87"/>
      <c r="B130" s="87"/>
      <c r="C130" s="87"/>
      <c r="D130" s="87"/>
      <c r="E130" s="87"/>
      <c r="F130" s="87"/>
      <c r="G130" s="87"/>
      <c r="H130" s="87"/>
      <c r="I130" s="87"/>
      <c r="J130" s="87"/>
      <c r="K130" s="87"/>
      <c r="L130" s="87"/>
      <c r="M130" s="87"/>
      <c r="N130" s="87"/>
      <c r="O130" s="87"/>
      <c r="P130" s="87"/>
      <c r="Q130" s="87"/>
      <c r="R130" s="87"/>
      <c r="S130" s="87"/>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row>
    <row r="131" spans="1:60" x14ac:dyDescent="0.25">
      <c r="A131" s="87"/>
      <c r="B131" s="87"/>
      <c r="C131" s="87"/>
      <c r="D131" s="87"/>
      <c r="E131" s="87"/>
      <c r="F131" s="87"/>
      <c r="G131" s="87"/>
      <c r="H131" s="87"/>
      <c r="I131" s="87"/>
      <c r="J131" s="87"/>
      <c r="K131" s="87"/>
      <c r="L131" s="87"/>
      <c r="M131" s="87"/>
      <c r="N131" s="87"/>
      <c r="O131" s="87"/>
      <c r="P131" s="87"/>
      <c r="Q131" s="87"/>
      <c r="R131" s="87"/>
      <c r="S131" s="87"/>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row>
    <row r="132" spans="1:60" x14ac:dyDescent="0.25">
      <c r="A132" s="87"/>
      <c r="B132" s="87"/>
      <c r="C132" s="87"/>
      <c r="D132" s="87"/>
      <c r="E132" s="87"/>
      <c r="F132" s="87"/>
      <c r="G132" s="87"/>
      <c r="H132" s="87"/>
      <c r="I132" s="87"/>
      <c r="J132" s="87"/>
      <c r="K132" s="87"/>
      <c r="L132" s="87"/>
      <c r="M132" s="87"/>
      <c r="N132" s="87"/>
      <c r="O132" s="87"/>
      <c r="P132" s="87"/>
      <c r="Q132" s="87"/>
      <c r="R132" s="87"/>
      <c r="S132" s="87"/>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row>
    <row r="133" spans="1:60" x14ac:dyDescent="0.25">
      <c r="A133" s="87"/>
      <c r="B133" s="87"/>
      <c r="C133" s="87"/>
      <c r="D133" s="87"/>
      <c r="E133" s="87"/>
      <c r="F133" s="87"/>
      <c r="G133" s="87"/>
      <c r="H133" s="87"/>
      <c r="I133" s="87"/>
      <c r="J133" s="87"/>
      <c r="K133" s="87"/>
      <c r="L133" s="87"/>
      <c r="M133" s="87"/>
      <c r="N133" s="87"/>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row>
    <row r="134" spans="1:60" x14ac:dyDescent="0.25">
      <c r="A134" s="87"/>
      <c r="B134" s="87"/>
      <c r="C134" s="87"/>
      <c r="D134" s="87"/>
      <c r="E134" s="87"/>
      <c r="F134" s="87"/>
      <c r="G134" s="87"/>
      <c r="H134" s="87"/>
      <c r="I134" s="87"/>
      <c r="J134" s="87"/>
      <c r="K134" s="87"/>
      <c r="L134" s="87"/>
      <c r="M134" s="87"/>
      <c r="N134" s="87"/>
      <c r="O134" s="87"/>
      <c r="P134" s="87"/>
      <c r="Q134" s="87"/>
      <c r="R134" s="87"/>
      <c r="S134" s="87"/>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row>
    <row r="135" spans="1:60" x14ac:dyDescent="0.25">
      <c r="A135" s="87"/>
      <c r="B135" s="87"/>
      <c r="C135" s="87"/>
      <c r="D135" s="87"/>
      <c r="E135" s="87"/>
      <c r="F135" s="87"/>
      <c r="G135" s="87"/>
      <c r="H135" s="87"/>
      <c r="I135" s="87"/>
      <c r="J135" s="87"/>
      <c r="K135" s="87"/>
      <c r="L135" s="87"/>
      <c r="M135" s="87"/>
      <c r="N135" s="87"/>
      <c r="O135" s="87"/>
      <c r="P135" s="87"/>
      <c r="Q135" s="87"/>
      <c r="R135" s="87"/>
      <c r="S135" s="87"/>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row>
    <row r="136" spans="1:60" x14ac:dyDescent="0.25">
      <c r="A136" s="87"/>
      <c r="B136" s="87"/>
      <c r="C136" s="87"/>
      <c r="D136" s="87"/>
      <c r="E136" s="87"/>
      <c r="F136" s="87"/>
      <c r="G136" s="87"/>
      <c r="H136" s="87"/>
      <c r="I136" s="87"/>
      <c r="J136" s="87"/>
      <c r="K136" s="87"/>
      <c r="L136" s="87"/>
      <c r="M136" s="87"/>
      <c r="N136" s="87"/>
      <c r="O136" s="87"/>
      <c r="P136" s="87"/>
      <c r="Q136" s="87"/>
      <c r="R136" s="87"/>
      <c r="S136" s="87"/>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row>
    <row r="137" spans="1:60" x14ac:dyDescent="0.25">
      <c r="A137" s="87"/>
      <c r="B137" s="87"/>
      <c r="C137" s="87"/>
      <c r="D137" s="87"/>
      <c r="E137" s="87"/>
      <c r="F137" s="87"/>
      <c r="G137" s="87"/>
      <c r="H137" s="87"/>
      <c r="I137" s="87"/>
      <c r="J137" s="87"/>
      <c r="K137" s="87"/>
      <c r="L137" s="87"/>
      <c r="M137" s="87"/>
      <c r="N137" s="87"/>
      <c r="O137" s="87"/>
      <c r="P137" s="87"/>
      <c r="Q137" s="87"/>
      <c r="R137" s="87"/>
      <c r="S137" s="87"/>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row>
    <row r="138" spans="1:60" x14ac:dyDescent="0.25">
      <c r="A138" s="87"/>
      <c r="B138" s="87"/>
      <c r="C138" s="87"/>
      <c r="D138" s="87"/>
      <c r="E138" s="87"/>
      <c r="F138" s="87"/>
      <c r="G138" s="87"/>
      <c r="H138" s="87"/>
      <c r="I138" s="87"/>
      <c r="J138" s="87"/>
      <c r="K138" s="87"/>
      <c r="L138" s="87"/>
      <c r="M138" s="87"/>
      <c r="N138" s="87"/>
      <c r="O138" s="87"/>
      <c r="P138" s="87"/>
      <c r="Q138" s="87"/>
      <c r="R138" s="87"/>
      <c r="S138" s="87"/>
      <c r="T138" s="87"/>
      <c r="U138" s="87"/>
      <c r="V138" s="87"/>
      <c r="W138" s="87"/>
      <c r="X138" s="87"/>
      <c r="Y138" s="87"/>
      <c r="Z138" s="87"/>
      <c r="AA138" s="87"/>
      <c r="AB138" s="87"/>
      <c r="AC138" s="87"/>
      <c r="AD138" s="87"/>
      <c r="AE138" s="87"/>
      <c r="AF138" s="87"/>
      <c r="AG138" s="87"/>
      <c r="AH138" s="87"/>
      <c r="AI138" s="87"/>
      <c r="AJ138" s="87"/>
      <c r="AK138" s="87"/>
      <c r="AL138" s="87"/>
      <c r="AM138" s="87"/>
      <c r="AN138" s="87"/>
      <c r="AO138" s="87"/>
      <c r="AP138" s="87"/>
      <c r="AQ138" s="87"/>
      <c r="AR138" s="87"/>
      <c r="AS138" s="87"/>
      <c r="AT138" s="87"/>
      <c r="AU138" s="87"/>
      <c r="AV138" s="87"/>
      <c r="AW138" s="87"/>
      <c r="AX138" s="87"/>
      <c r="AY138" s="87"/>
      <c r="AZ138" s="87"/>
      <c r="BA138" s="87"/>
      <c r="BB138" s="87"/>
      <c r="BC138" s="87"/>
      <c r="BD138" s="87"/>
      <c r="BE138" s="87"/>
      <c r="BF138" s="87"/>
      <c r="BG138" s="87"/>
      <c r="BH138" s="87"/>
    </row>
    <row r="139" spans="1:60" x14ac:dyDescent="0.25">
      <c r="A139" s="87"/>
      <c r="B139" s="87"/>
      <c r="C139" s="87"/>
      <c r="D139" s="87"/>
      <c r="E139" s="87"/>
      <c r="F139" s="87"/>
      <c r="G139" s="87"/>
      <c r="H139" s="87"/>
      <c r="I139" s="87"/>
      <c r="J139" s="87"/>
      <c r="K139" s="87"/>
      <c r="L139" s="87"/>
      <c r="M139" s="87"/>
      <c r="N139" s="87"/>
      <c r="O139" s="87"/>
      <c r="P139" s="87"/>
      <c r="Q139" s="87"/>
      <c r="R139" s="87"/>
      <c r="S139" s="87"/>
      <c r="T139" s="87"/>
      <c r="U139" s="87"/>
      <c r="V139" s="87"/>
      <c r="W139" s="87"/>
      <c r="X139" s="87"/>
      <c r="Y139" s="87"/>
      <c r="Z139" s="87"/>
      <c r="AA139" s="87"/>
      <c r="AB139" s="87"/>
      <c r="AC139" s="87"/>
      <c r="AD139" s="87"/>
      <c r="AE139" s="87"/>
      <c r="AF139" s="87"/>
      <c r="AG139" s="87"/>
      <c r="AH139" s="87"/>
      <c r="AI139" s="87"/>
      <c r="AJ139" s="87"/>
      <c r="AK139" s="87"/>
      <c r="AL139" s="87"/>
      <c r="AM139" s="87"/>
      <c r="AN139" s="87"/>
      <c r="AO139" s="87"/>
      <c r="AP139" s="87"/>
      <c r="AQ139" s="87"/>
      <c r="AR139" s="87"/>
      <c r="AS139" s="87"/>
      <c r="AT139" s="87"/>
      <c r="AU139" s="87"/>
      <c r="AV139" s="87"/>
      <c r="AW139" s="87"/>
      <c r="AX139" s="87"/>
      <c r="AY139" s="87"/>
      <c r="AZ139" s="87"/>
      <c r="BA139" s="87"/>
      <c r="BB139" s="87"/>
      <c r="BC139" s="87"/>
      <c r="BD139" s="87"/>
      <c r="BE139" s="87"/>
      <c r="BF139" s="87"/>
      <c r="BG139" s="87"/>
      <c r="BH139" s="87"/>
    </row>
    <row r="140" spans="1:60" x14ac:dyDescent="0.25">
      <c r="A140" s="87"/>
      <c r="B140" s="87"/>
      <c r="C140" s="87"/>
      <c r="D140" s="87"/>
      <c r="E140" s="87"/>
      <c r="F140" s="87"/>
      <c r="G140" s="87"/>
      <c r="H140" s="87"/>
      <c r="I140" s="87"/>
      <c r="J140" s="87"/>
      <c r="K140" s="87"/>
      <c r="L140" s="87"/>
      <c r="M140" s="87"/>
      <c r="N140" s="87"/>
      <c r="O140" s="87"/>
      <c r="P140" s="87"/>
      <c r="Q140" s="87"/>
      <c r="R140" s="87"/>
      <c r="S140" s="87"/>
      <c r="T140" s="87"/>
      <c r="U140" s="87"/>
      <c r="V140" s="87"/>
      <c r="W140" s="87"/>
      <c r="X140" s="87"/>
      <c r="Y140" s="87"/>
      <c r="Z140" s="87"/>
      <c r="AA140" s="87"/>
      <c r="AB140" s="87"/>
      <c r="AC140" s="87"/>
      <c r="AD140" s="87"/>
      <c r="AE140" s="87"/>
      <c r="AF140" s="87"/>
      <c r="AG140" s="87"/>
      <c r="AH140" s="87"/>
      <c r="AI140" s="87"/>
      <c r="AJ140" s="87"/>
      <c r="AK140" s="87"/>
      <c r="AL140" s="87"/>
      <c r="AM140" s="87"/>
      <c r="AN140" s="87"/>
      <c r="AO140" s="87"/>
      <c r="AP140" s="87"/>
      <c r="AQ140" s="87"/>
      <c r="AR140" s="87"/>
      <c r="AS140" s="87"/>
      <c r="AT140" s="87"/>
      <c r="AU140" s="87"/>
      <c r="AV140" s="87"/>
      <c r="AW140" s="87"/>
      <c r="AX140" s="87"/>
      <c r="AY140" s="87"/>
      <c r="AZ140" s="87"/>
      <c r="BA140" s="87"/>
      <c r="BB140" s="87"/>
      <c r="BC140" s="87"/>
      <c r="BD140" s="87"/>
      <c r="BE140" s="87"/>
      <c r="BF140" s="87"/>
      <c r="BG140" s="87"/>
      <c r="BH140" s="87"/>
    </row>
    <row r="141" spans="1:60" x14ac:dyDescent="0.25">
      <c r="A141" s="87"/>
      <c r="B141" s="87"/>
      <c r="C141" s="87"/>
      <c r="D141" s="87"/>
      <c r="E141" s="87"/>
      <c r="F141" s="87"/>
      <c r="G141" s="87"/>
      <c r="H141" s="87"/>
      <c r="I141" s="87"/>
      <c r="J141" s="87"/>
      <c r="K141" s="87"/>
      <c r="L141" s="87"/>
      <c r="M141" s="87"/>
      <c r="N141" s="87"/>
      <c r="O141" s="87"/>
      <c r="P141" s="87"/>
      <c r="Q141" s="87"/>
      <c r="R141" s="87"/>
      <c r="S141" s="87"/>
      <c r="T141" s="87"/>
      <c r="U141" s="87"/>
      <c r="V141" s="87"/>
      <c r="W141" s="87"/>
      <c r="X141" s="87"/>
      <c r="Y141" s="87"/>
      <c r="Z141" s="87"/>
      <c r="AA141" s="87"/>
      <c r="AB141" s="87"/>
      <c r="AC141" s="87"/>
      <c r="AD141" s="87"/>
      <c r="AE141" s="87"/>
      <c r="AF141" s="87"/>
      <c r="AG141" s="87"/>
      <c r="AH141" s="87"/>
      <c r="AI141" s="87"/>
      <c r="AJ141" s="87"/>
      <c r="AK141" s="87"/>
      <c r="AL141" s="87"/>
      <c r="AM141" s="87"/>
      <c r="AN141" s="87"/>
      <c r="AO141" s="87"/>
      <c r="AP141" s="87"/>
      <c r="AQ141" s="87"/>
      <c r="AR141" s="87"/>
      <c r="AS141" s="87"/>
      <c r="AT141" s="87"/>
      <c r="AU141" s="87"/>
      <c r="AV141" s="87"/>
      <c r="AW141" s="87"/>
      <c r="AX141" s="87"/>
      <c r="AY141" s="87"/>
      <c r="AZ141" s="87"/>
      <c r="BA141" s="87"/>
      <c r="BB141" s="87"/>
      <c r="BC141" s="87"/>
      <c r="BD141" s="87"/>
      <c r="BE141" s="87"/>
      <c r="BF141" s="87"/>
      <c r="BG141" s="87"/>
      <c r="BH141" s="87"/>
    </row>
    <row r="142" spans="1:60" x14ac:dyDescent="0.25">
      <c r="A142" s="87"/>
      <c r="B142" s="87"/>
      <c r="C142" s="87"/>
      <c r="D142" s="87"/>
      <c r="E142" s="87"/>
      <c r="F142" s="87"/>
      <c r="G142" s="87"/>
      <c r="H142" s="87"/>
      <c r="I142" s="87"/>
      <c r="J142" s="87"/>
      <c r="K142" s="87"/>
      <c r="L142" s="87"/>
      <c r="M142" s="87"/>
      <c r="N142" s="87"/>
      <c r="O142" s="87"/>
      <c r="P142" s="87"/>
      <c r="Q142" s="87"/>
      <c r="R142" s="87"/>
      <c r="S142" s="87"/>
      <c r="T142" s="87"/>
      <c r="U142" s="87"/>
      <c r="V142" s="87"/>
      <c r="W142" s="87"/>
      <c r="X142" s="87"/>
      <c r="Y142" s="87"/>
      <c r="Z142" s="87"/>
      <c r="AA142" s="87"/>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c r="AY142" s="87"/>
      <c r="AZ142" s="87"/>
      <c r="BA142" s="87"/>
      <c r="BB142" s="87"/>
      <c r="BC142" s="87"/>
      <c r="BD142" s="87"/>
      <c r="BE142" s="87"/>
      <c r="BF142" s="87"/>
      <c r="BG142" s="87"/>
      <c r="BH142" s="87"/>
    </row>
    <row r="143" spans="1:60" x14ac:dyDescent="0.25">
      <c r="A143" s="87"/>
      <c r="B143" s="87"/>
      <c r="C143" s="87"/>
      <c r="D143" s="87"/>
      <c r="E143" s="87"/>
      <c r="F143" s="87"/>
      <c r="G143" s="87"/>
      <c r="H143" s="87"/>
      <c r="I143" s="87"/>
      <c r="J143" s="87"/>
      <c r="K143" s="87"/>
      <c r="L143" s="87"/>
      <c r="M143" s="87"/>
      <c r="N143" s="87"/>
      <c r="O143" s="87"/>
      <c r="P143" s="87"/>
      <c r="Q143" s="87"/>
      <c r="R143" s="87"/>
      <c r="S143" s="87"/>
      <c r="T143" s="87"/>
      <c r="U143" s="87"/>
      <c r="V143" s="87"/>
      <c r="W143" s="87"/>
      <c r="X143" s="87"/>
      <c r="Y143" s="87"/>
      <c r="Z143" s="87"/>
      <c r="AA143" s="87"/>
      <c r="AB143" s="87"/>
      <c r="AC143" s="87"/>
      <c r="AD143" s="87"/>
      <c r="AE143" s="87"/>
      <c r="AF143" s="87"/>
      <c r="AG143" s="87"/>
      <c r="AH143" s="87"/>
      <c r="AI143" s="87"/>
      <c r="AJ143" s="87"/>
      <c r="AK143" s="87"/>
      <c r="AL143" s="87"/>
      <c r="AM143" s="87"/>
      <c r="AN143" s="87"/>
      <c r="AO143" s="87"/>
      <c r="AP143" s="87"/>
      <c r="AQ143" s="87"/>
      <c r="AR143" s="87"/>
      <c r="AS143" s="87"/>
      <c r="AT143" s="87"/>
      <c r="AU143" s="87"/>
      <c r="AV143" s="87"/>
      <c r="AW143" s="87"/>
      <c r="AX143" s="87"/>
      <c r="AY143" s="87"/>
      <c r="AZ143" s="87"/>
      <c r="BA143" s="87"/>
      <c r="BB143" s="87"/>
      <c r="BC143" s="87"/>
      <c r="BD143" s="87"/>
      <c r="BE143" s="87"/>
      <c r="BF143" s="87"/>
      <c r="BG143" s="87"/>
      <c r="BH143" s="87"/>
    </row>
    <row r="144" spans="1:60" x14ac:dyDescent="0.25">
      <c r="A144" s="87"/>
      <c r="B144" s="87"/>
      <c r="C144" s="87"/>
      <c r="D144" s="87"/>
      <c r="E144" s="87"/>
      <c r="F144" s="87"/>
      <c r="G144" s="87"/>
      <c r="H144" s="87"/>
      <c r="I144" s="87"/>
      <c r="J144" s="87"/>
      <c r="K144" s="87"/>
      <c r="L144" s="87"/>
      <c r="M144" s="87"/>
      <c r="N144" s="87"/>
      <c r="O144" s="87"/>
      <c r="P144" s="87"/>
      <c r="Q144" s="87"/>
      <c r="R144" s="87"/>
      <c r="S144" s="87"/>
      <c r="T144" s="87"/>
      <c r="U144" s="87"/>
      <c r="V144" s="87"/>
      <c r="W144" s="87"/>
      <c r="X144" s="87"/>
      <c r="Y144" s="87"/>
      <c r="Z144" s="87"/>
      <c r="AA144" s="87"/>
      <c r="AB144" s="87"/>
      <c r="AC144" s="87"/>
      <c r="AD144" s="87"/>
      <c r="AE144" s="87"/>
      <c r="AF144" s="87"/>
      <c r="AG144" s="87"/>
      <c r="AH144" s="87"/>
      <c r="AI144" s="87"/>
      <c r="AJ144" s="87"/>
      <c r="AK144" s="87"/>
      <c r="AL144" s="87"/>
      <c r="AM144" s="87"/>
      <c r="AN144" s="87"/>
      <c r="AO144" s="87"/>
      <c r="AP144" s="87"/>
      <c r="AQ144" s="87"/>
      <c r="AR144" s="87"/>
      <c r="AS144" s="87"/>
      <c r="AT144" s="87"/>
      <c r="AU144" s="87"/>
      <c r="AV144" s="87"/>
      <c r="AW144" s="87"/>
      <c r="AX144" s="87"/>
      <c r="AY144" s="87"/>
      <c r="AZ144" s="87"/>
      <c r="BA144" s="87"/>
      <c r="BB144" s="87"/>
      <c r="BC144" s="87"/>
      <c r="BD144" s="87"/>
      <c r="BE144" s="87"/>
      <c r="BF144" s="87"/>
      <c r="BG144" s="87"/>
      <c r="BH144" s="87"/>
    </row>
    <row r="145" spans="1:60" x14ac:dyDescent="0.25">
      <c r="A145" s="87"/>
      <c r="B145" s="87"/>
      <c r="C145" s="87"/>
      <c r="D145" s="87"/>
      <c r="E145" s="87"/>
      <c r="F145" s="87"/>
      <c r="G145" s="87"/>
      <c r="H145" s="87"/>
      <c r="I145" s="87"/>
      <c r="J145" s="87"/>
      <c r="K145" s="87"/>
      <c r="L145" s="87"/>
      <c r="M145" s="87"/>
      <c r="N145" s="87"/>
      <c r="O145" s="87"/>
      <c r="P145" s="87"/>
      <c r="Q145" s="87"/>
      <c r="R145" s="87"/>
      <c r="S145" s="87"/>
      <c r="T145" s="87"/>
      <c r="U145" s="87"/>
      <c r="V145" s="87"/>
      <c r="W145" s="87"/>
      <c r="X145" s="87"/>
      <c r="Y145" s="87"/>
      <c r="Z145" s="87"/>
      <c r="AA145" s="87"/>
      <c r="AB145" s="87"/>
      <c r="AC145" s="87"/>
      <c r="AD145" s="87"/>
      <c r="AE145" s="87"/>
      <c r="AF145" s="87"/>
      <c r="AG145" s="87"/>
      <c r="AH145" s="87"/>
      <c r="AI145" s="87"/>
      <c r="AJ145" s="87"/>
      <c r="AK145" s="87"/>
      <c r="AL145" s="87"/>
      <c r="AM145" s="87"/>
      <c r="AN145" s="87"/>
      <c r="AO145" s="87"/>
      <c r="AP145" s="87"/>
      <c r="AQ145" s="87"/>
      <c r="AR145" s="87"/>
      <c r="AS145" s="87"/>
      <c r="AT145" s="87"/>
      <c r="AU145" s="87"/>
      <c r="AV145" s="87"/>
      <c r="AW145" s="87"/>
      <c r="AX145" s="87"/>
      <c r="AY145" s="87"/>
      <c r="AZ145" s="87"/>
      <c r="BA145" s="87"/>
      <c r="BB145" s="87"/>
      <c r="BC145" s="87"/>
      <c r="BD145" s="87"/>
      <c r="BE145" s="87"/>
      <c r="BF145" s="87"/>
      <c r="BG145" s="87"/>
      <c r="BH145" s="87"/>
    </row>
    <row r="146" spans="1:60" x14ac:dyDescent="0.25">
      <c r="A146" s="87"/>
      <c r="B146" s="87"/>
      <c r="C146" s="87"/>
      <c r="D146" s="87"/>
      <c r="E146" s="87"/>
      <c r="F146" s="87"/>
      <c r="G146" s="87"/>
      <c r="H146" s="87"/>
      <c r="I146" s="87"/>
      <c r="J146" s="87"/>
      <c r="K146" s="87"/>
      <c r="L146" s="87"/>
      <c r="M146" s="87"/>
      <c r="N146" s="87"/>
      <c r="O146" s="87"/>
      <c r="P146" s="87"/>
      <c r="Q146" s="87"/>
      <c r="R146" s="87"/>
      <c r="S146" s="87"/>
      <c r="T146" s="87"/>
      <c r="U146" s="87"/>
      <c r="V146" s="87"/>
      <c r="W146" s="87"/>
      <c r="X146" s="87"/>
      <c r="Y146" s="87"/>
      <c r="Z146" s="87"/>
      <c r="AA146" s="87"/>
      <c r="AB146" s="87"/>
      <c r="AC146" s="87"/>
      <c r="AD146" s="87"/>
      <c r="AE146" s="87"/>
      <c r="AF146" s="87"/>
      <c r="AG146" s="87"/>
      <c r="AH146" s="87"/>
      <c r="AI146" s="87"/>
      <c r="AJ146" s="87"/>
      <c r="AK146" s="87"/>
      <c r="AL146" s="87"/>
      <c r="AM146" s="87"/>
      <c r="AN146" s="87"/>
      <c r="AO146" s="87"/>
      <c r="AP146" s="87"/>
      <c r="AQ146" s="87"/>
      <c r="AR146" s="87"/>
      <c r="AS146" s="87"/>
      <c r="AT146" s="87"/>
      <c r="AU146" s="87"/>
      <c r="AV146" s="87"/>
      <c r="AW146" s="87"/>
      <c r="AX146" s="87"/>
      <c r="AY146" s="87"/>
      <c r="AZ146" s="87"/>
      <c r="BA146" s="87"/>
      <c r="BB146" s="87"/>
      <c r="BC146" s="87"/>
      <c r="BD146" s="87"/>
      <c r="BE146" s="87"/>
      <c r="BF146" s="87"/>
      <c r="BG146" s="87"/>
      <c r="BH146" s="87"/>
    </row>
    <row r="147" spans="1:60" x14ac:dyDescent="0.25">
      <c r="A147" s="87"/>
      <c r="B147" s="87"/>
      <c r="C147" s="87"/>
      <c r="D147" s="87"/>
      <c r="E147" s="87"/>
      <c r="F147" s="87"/>
      <c r="G147" s="87"/>
      <c r="H147" s="87"/>
      <c r="I147" s="87"/>
      <c r="J147" s="87"/>
      <c r="K147" s="87"/>
      <c r="L147" s="87"/>
      <c r="M147" s="87"/>
      <c r="N147" s="87"/>
      <c r="O147" s="87"/>
      <c r="P147" s="87"/>
      <c r="Q147" s="87"/>
      <c r="R147" s="87"/>
      <c r="S147" s="87"/>
      <c r="T147" s="87"/>
      <c r="U147" s="87"/>
      <c r="V147" s="87"/>
      <c r="W147" s="87"/>
      <c r="X147" s="87"/>
      <c r="Y147" s="87"/>
      <c r="Z147" s="87"/>
      <c r="AA147" s="87"/>
      <c r="AB147" s="87"/>
      <c r="AC147" s="87"/>
      <c r="AD147" s="87"/>
      <c r="AE147" s="87"/>
      <c r="AF147" s="87"/>
      <c r="AG147" s="87"/>
      <c r="AH147" s="87"/>
      <c r="AI147" s="87"/>
      <c r="AJ147" s="87"/>
      <c r="AK147" s="87"/>
      <c r="AL147" s="87"/>
      <c r="AM147" s="87"/>
      <c r="AN147" s="87"/>
      <c r="AO147" s="87"/>
      <c r="AP147" s="87"/>
      <c r="AQ147" s="87"/>
      <c r="AR147" s="87"/>
      <c r="AS147" s="87"/>
      <c r="AT147" s="87"/>
      <c r="AU147" s="87"/>
      <c r="AV147" s="87"/>
      <c r="AW147" s="87"/>
      <c r="AX147" s="87"/>
      <c r="AY147" s="87"/>
      <c r="AZ147" s="87"/>
      <c r="BA147" s="87"/>
      <c r="BB147" s="87"/>
      <c r="BC147" s="87"/>
      <c r="BD147" s="87"/>
      <c r="BE147" s="87"/>
      <c r="BF147" s="87"/>
      <c r="BG147" s="87"/>
      <c r="BH147" s="87"/>
    </row>
    <row r="148" spans="1:60" x14ac:dyDescent="0.25">
      <c r="A148" s="87"/>
      <c r="B148" s="87"/>
      <c r="C148" s="87"/>
      <c r="D148" s="87"/>
      <c r="E148" s="87"/>
      <c r="F148" s="87"/>
      <c r="G148" s="87"/>
      <c r="H148" s="87"/>
      <c r="I148" s="87"/>
      <c r="J148" s="87"/>
      <c r="K148" s="87"/>
      <c r="L148" s="87"/>
      <c r="M148" s="87"/>
      <c r="N148" s="87"/>
      <c r="O148" s="87"/>
      <c r="P148" s="87"/>
      <c r="Q148" s="87"/>
      <c r="R148" s="87"/>
      <c r="S148" s="87"/>
      <c r="T148" s="87"/>
      <c r="U148" s="87"/>
      <c r="V148" s="87"/>
      <c r="W148" s="87"/>
      <c r="X148" s="87"/>
      <c r="Y148" s="87"/>
      <c r="Z148" s="87"/>
      <c r="AA148" s="87"/>
      <c r="AB148" s="87"/>
      <c r="AC148" s="87"/>
      <c r="AD148" s="87"/>
      <c r="AE148" s="87"/>
      <c r="AF148" s="87"/>
      <c r="AG148" s="87"/>
      <c r="AH148" s="87"/>
      <c r="AI148" s="87"/>
      <c r="AJ148" s="87"/>
      <c r="AK148" s="87"/>
      <c r="AL148" s="87"/>
      <c r="AM148" s="87"/>
      <c r="AN148" s="87"/>
      <c r="AO148" s="87"/>
      <c r="AP148" s="87"/>
      <c r="AQ148" s="87"/>
      <c r="AR148" s="87"/>
      <c r="AS148" s="87"/>
      <c r="AT148" s="87"/>
      <c r="AU148" s="87"/>
      <c r="AV148" s="87"/>
      <c r="AW148" s="87"/>
      <c r="AX148" s="87"/>
      <c r="AY148" s="87"/>
      <c r="AZ148" s="87"/>
      <c r="BA148" s="87"/>
      <c r="BB148" s="87"/>
      <c r="BC148" s="87"/>
      <c r="BD148" s="87"/>
      <c r="BE148" s="87"/>
      <c r="BF148" s="87"/>
      <c r="BG148" s="87"/>
      <c r="BH148" s="87"/>
    </row>
    <row r="149" spans="1:60" x14ac:dyDescent="0.25">
      <c r="A149" s="87"/>
      <c r="B149" s="87"/>
      <c r="C149" s="87"/>
      <c r="D149" s="87"/>
      <c r="E149" s="87"/>
      <c r="F149" s="87"/>
      <c r="G149" s="87"/>
      <c r="H149" s="87"/>
      <c r="I149" s="87"/>
      <c r="J149" s="87"/>
      <c r="K149" s="87"/>
      <c r="L149" s="87"/>
      <c r="M149" s="87"/>
      <c r="N149" s="87"/>
      <c r="O149" s="87"/>
      <c r="P149" s="87"/>
      <c r="Q149" s="87"/>
      <c r="R149" s="87"/>
      <c r="S149" s="87"/>
      <c r="T149" s="87"/>
      <c r="U149" s="87"/>
      <c r="V149" s="87"/>
      <c r="W149" s="87"/>
      <c r="X149" s="87"/>
      <c r="Y149" s="87"/>
      <c r="Z149" s="87"/>
      <c r="AA149" s="87"/>
      <c r="AB149" s="87"/>
      <c r="AC149" s="87"/>
      <c r="AD149" s="87"/>
      <c r="AE149" s="87"/>
      <c r="AF149" s="87"/>
      <c r="AG149" s="87"/>
      <c r="AH149" s="87"/>
      <c r="AI149" s="87"/>
      <c r="AJ149" s="87"/>
      <c r="AK149" s="87"/>
      <c r="AL149" s="87"/>
      <c r="AM149" s="87"/>
      <c r="AN149" s="87"/>
      <c r="AO149" s="87"/>
      <c r="AP149" s="87"/>
      <c r="AQ149" s="87"/>
      <c r="AR149" s="87"/>
      <c r="AS149" s="87"/>
      <c r="AT149" s="87"/>
      <c r="AU149" s="87"/>
      <c r="AV149" s="87"/>
      <c r="AW149" s="87"/>
      <c r="AX149" s="87"/>
      <c r="AY149" s="87"/>
      <c r="AZ149" s="87"/>
      <c r="BA149" s="87"/>
      <c r="BB149" s="87"/>
      <c r="BC149" s="87"/>
      <c r="BD149" s="87"/>
      <c r="BE149" s="87"/>
      <c r="BF149" s="87"/>
      <c r="BG149" s="87"/>
      <c r="BH149" s="87"/>
    </row>
    <row r="150" spans="1:60" x14ac:dyDescent="0.25">
      <c r="A150" s="87"/>
      <c r="B150" s="87"/>
      <c r="C150" s="87"/>
      <c r="D150" s="87"/>
      <c r="E150" s="87"/>
      <c r="F150" s="87"/>
      <c r="G150" s="87"/>
      <c r="H150" s="87"/>
      <c r="I150" s="87"/>
      <c r="J150" s="87"/>
      <c r="K150" s="87"/>
      <c r="L150" s="87"/>
      <c r="M150" s="87"/>
      <c r="N150" s="87"/>
      <c r="O150" s="87"/>
      <c r="P150" s="87"/>
      <c r="Q150" s="87"/>
      <c r="R150" s="87"/>
      <c r="S150" s="87"/>
      <c r="T150" s="87"/>
      <c r="U150" s="87"/>
      <c r="V150" s="87"/>
      <c r="W150" s="87"/>
      <c r="X150" s="87"/>
      <c r="Y150" s="87"/>
      <c r="Z150" s="87"/>
      <c r="AA150" s="87"/>
      <c r="AB150" s="87"/>
      <c r="AC150" s="87"/>
      <c r="AD150" s="87"/>
      <c r="AE150" s="87"/>
      <c r="AF150" s="87"/>
      <c r="AG150" s="87"/>
      <c r="AH150" s="87"/>
      <c r="AI150" s="87"/>
      <c r="AJ150" s="87"/>
      <c r="AK150" s="87"/>
      <c r="AL150" s="87"/>
      <c r="AM150" s="87"/>
      <c r="AN150" s="87"/>
      <c r="AO150" s="87"/>
      <c r="AP150" s="87"/>
      <c r="AQ150" s="87"/>
      <c r="AR150" s="87"/>
      <c r="AS150" s="87"/>
      <c r="AT150" s="87"/>
      <c r="AU150" s="87"/>
      <c r="AV150" s="87"/>
      <c r="AW150" s="87"/>
      <c r="AX150" s="87"/>
      <c r="AY150" s="87"/>
      <c r="AZ150" s="87"/>
      <c r="BA150" s="87"/>
      <c r="BB150" s="87"/>
      <c r="BC150" s="87"/>
      <c r="BD150" s="87"/>
      <c r="BE150" s="87"/>
      <c r="BF150" s="87"/>
      <c r="BG150" s="87"/>
      <c r="BH150" s="87"/>
    </row>
    <row r="151" spans="1:60" x14ac:dyDescent="0.25">
      <c r="A151" s="87"/>
      <c r="B151" s="87"/>
      <c r="C151" s="87"/>
      <c r="D151" s="87"/>
      <c r="E151" s="87"/>
      <c r="F151" s="87"/>
      <c r="G151" s="87"/>
      <c r="H151" s="87"/>
      <c r="I151" s="87"/>
      <c r="J151" s="87"/>
      <c r="K151" s="87"/>
      <c r="L151" s="87"/>
      <c r="M151" s="87"/>
      <c r="N151" s="87"/>
      <c r="O151" s="87"/>
      <c r="P151" s="87"/>
      <c r="Q151" s="87"/>
      <c r="R151" s="87"/>
      <c r="S151" s="87"/>
      <c r="T151" s="87"/>
      <c r="U151" s="87"/>
      <c r="V151" s="87"/>
      <c r="W151" s="87"/>
      <c r="X151" s="87"/>
      <c r="Y151" s="87"/>
      <c r="Z151" s="87"/>
      <c r="AA151" s="87"/>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c r="AY151" s="87"/>
      <c r="AZ151" s="87"/>
      <c r="BA151" s="87"/>
      <c r="BB151" s="87"/>
      <c r="BC151" s="87"/>
      <c r="BD151" s="87"/>
      <c r="BE151" s="87"/>
      <c r="BF151" s="87"/>
      <c r="BG151" s="87"/>
      <c r="BH151" s="87"/>
    </row>
    <row r="152" spans="1:60" x14ac:dyDescent="0.25">
      <c r="A152" s="87"/>
      <c r="B152" s="87"/>
      <c r="C152" s="87"/>
      <c r="D152" s="87"/>
      <c r="E152" s="87"/>
      <c r="F152" s="87"/>
      <c r="G152" s="87"/>
      <c r="H152" s="87"/>
      <c r="I152" s="87"/>
      <c r="J152" s="87"/>
      <c r="K152" s="87"/>
      <c r="L152" s="87"/>
      <c r="M152" s="87"/>
      <c r="N152" s="87"/>
      <c r="O152" s="87"/>
      <c r="P152" s="87"/>
      <c r="Q152" s="87"/>
      <c r="R152" s="87"/>
      <c r="S152" s="87"/>
      <c r="T152" s="87"/>
      <c r="U152" s="87"/>
      <c r="V152" s="87"/>
      <c r="W152" s="87"/>
      <c r="X152" s="87"/>
      <c r="Y152" s="87"/>
      <c r="Z152" s="87"/>
      <c r="AA152" s="87"/>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c r="AY152" s="87"/>
      <c r="AZ152" s="87"/>
      <c r="BA152" s="87"/>
      <c r="BB152" s="87"/>
      <c r="BC152" s="87"/>
      <c r="BD152" s="87"/>
      <c r="BE152" s="87"/>
      <c r="BF152" s="87"/>
      <c r="BG152" s="87"/>
      <c r="BH152" s="87"/>
    </row>
    <row r="153" spans="1:60" x14ac:dyDescent="0.25">
      <c r="A153" s="87"/>
      <c r="B153" s="87"/>
      <c r="C153" s="87"/>
      <c r="D153" s="87"/>
      <c r="E153" s="87"/>
      <c r="F153" s="87"/>
      <c r="G153" s="87"/>
      <c r="H153" s="87"/>
      <c r="I153" s="87"/>
      <c r="J153" s="87"/>
      <c r="K153" s="87"/>
      <c r="L153" s="87"/>
      <c r="M153" s="87"/>
      <c r="N153" s="87"/>
      <c r="O153" s="87"/>
      <c r="P153" s="87"/>
      <c r="Q153" s="87"/>
      <c r="R153" s="87"/>
      <c r="S153" s="87"/>
      <c r="T153" s="87"/>
      <c r="U153" s="87"/>
      <c r="V153" s="87"/>
      <c r="W153" s="87"/>
      <c r="X153" s="87"/>
      <c r="Y153" s="87"/>
      <c r="Z153" s="87"/>
      <c r="AA153" s="87"/>
      <c r="AB153" s="87"/>
      <c r="AC153" s="87"/>
      <c r="AD153" s="87"/>
      <c r="AE153" s="87"/>
      <c r="AF153" s="87"/>
      <c r="AG153" s="87"/>
      <c r="AH153" s="87"/>
      <c r="AI153" s="87"/>
      <c r="AJ153" s="87"/>
      <c r="AK153" s="87"/>
      <c r="AL153" s="87"/>
      <c r="AM153" s="87"/>
      <c r="AN153" s="87"/>
      <c r="AO153" s="87"/>
      <c r="AP153" s="87"/>
      <c r="AQ153" s="87"/>
      <c r="AR153" s="87"/>
      <c r="AS153" s="87"/>
      <c r="AT153" s="87"/>
      <c r="AU153" s="87"/>
      <c r="AV153" s="87"/>
      <c r="AW153" s="87"/>
      <c r="AX153" s="87"/>
      <c r="AY153" s="87"/>
      <c r="AZ153" s="87"/>
      <c r="BA153" s="87"/>
      <c r="BB153" s="87"/>
      <c r="BC153" s="87"/>
      <c r="BD153" s="87"/>
      <c r="BE153" s="87"/>
      <c r="BF153" s="87"/>
      <c r="BG153" s="87"/>
      <c r="BH153" s="87"/>
    </row>
    <row r="154" spans="1:60" x14ac:dyDescent="0.25">
      <c r="A154" s="87"/>
      <c r="B154" s="87"/>
      <c r="C154" s="87"/>
      <c r="D154" s="87"/>
      <c r="E154" s="87"/>
      <c r="F154" s="87"/>
      <c r="G154" s="87"/>
      <c r="H154" s="87"/>
      <c r="I154" s="87"/>
      <c r="J154" s="87"/>
      <c r="K154" s="87"/>
      <c r="L154" s="87"/>
      <c r="M154" s="87"/>
      <c r="N154" s="87"/>
      <c r="O154" s="87"/>
      <c r="P154" s="87"/>
      <c r="Q154" s="87"/>
      <c r="R154" s="87"/>
      <c r="S154" s="87"/>
      <c r="T154" s="87"/>
      <c r="U154" s="87"/>
      <c r="V154" s="87"/>
      <c r="W154" s="87"/>
      <c r="X154" s="87"/>
      <c r="Y154" s="87"/>
      <c r="Z154" s="87"/>
      <c r="AA154" s="87"/>
      <c r="AB154" s="87"/>
      <c r="AC154" s="87"/>
      <c r="AD154" s="87"/>
      <c r="AE154" s="87"/>
      <c r="AF154" s="87"/>
      <c r="AG154" s="87"/>
      <c r="AH154" s="87"/>
      <c r="AI154" s="87"/>
      <c r="AJ154" s="87"/>
      <c r="AK154" s="87"/>
      <c r="AL154" s="87"/>
      <c r="AM154" s="87"/>
      <c r="AN154" s="87"/>
      <c r="AO154" s="87"/>
      <c r="AP154" s="87"/>
      <c r="AQ154" s="87"/>
      <c r="AR154" s="87"/>
      <c r="AS154" s="87"/>
      <c r="AT154" s="87"/>
      <c r="AU154" s="87"/>
      <c r="AV154" s="87"/>
      <c r="AW154" s="87"/>
      <c r="AX154" s="87"/>
      <c r="AY154" s="87"/>
      <c r="AZ154" s="87"/>
      <c r="BA154" s="87"/>
      <c r="BB154" s="87"/>
      <c r="BC154" s="87"/>
      <c r="BD154" s="87"/>
      <c r="BE154" s="87"/>
      <c r="BF154" s="87"/>
      <c r="BG154" s="87"/>
      <c r="BH154" s="87"/>
    </row>
    <row r="155" spans="1:60" x14ac:dyDescent="0.25">
      <c r="A155" s="87"/>
      <c r="B155" s="87"/>
      <c r="C155" s="87"/>
      <c r="D155" s="87"/>
      <c r="E155" s="87"/>
      <c r="F155" s="87"/>
      <c r="G155" s="87"/>
      <c r="H155" s="87"/>
      <c r="I155" s="87"/>
      <c r="J155" s="87"/>
      <c r="K155" s="87"/>
      <c r="L155" s="87"/>
      <c r="M155" s="87"/>
      <c r="N155" s="87"/>
      <c r="O155" s="87"/>
      <c r="P155" s="87"/>
      <c r="Q155" s="87"/>
      <c r="R155" s="87"/>
      <c r="S155" s="87"/>
      <c r="T155" s="87"/>
      <c r="U155" s="87"/>
      <c r="V155" s="87"/>
      <c r="W155" s="87"/>
      <c r="X155" s="87"/>
      <c r="Y155" s="87"/>
      <c r="Z155" s="87"/>
      <c r="AA155" s="87"/>
      <c r="AB155" s="87"/>
      <c r="AC155" s="87"/>
      <c r="AD155" s="87"/>
      <c r="AE155" s="87"/>
      <c r="AF155" s="87"/>
      <c r="AG155" s="87"/>
      <c r="AH155" s="87"/>
      <c r="AI155" s="87"/>
      <c r="AJ155" s="87"/>
      <c r="AK155" s="87"/>
      <c r="AL155" s="87"/>
      <c r="AM155" s="87"/>
      <c r="AN155" s="87"/>
      <c r="AO155" s="87"/>
      <c r="AP155" s="87"/>
      <c r="AQ155" s="87"/>
      <c r="AR155" s="87"/>
      <c r="AS155" s="87"/>
      <c r="AT155" s="87"/>
      <c r="AU155" s="87"/>
      <c r="AV155" s="87"/>
      <c r="AW155" s="87"/>
      <c r="AX155" s="87"/>
      <c r="AY155" s="87"/>
      <c r="AZ155" s="87"/>
      <c r="BA155" s="87"/>
      <c r="BB155" s="87"/>
      <c r="BC155" s="87"/>
      <c r="BD155" s="87"/>
      <c r="BE155" s="87"/>
      <c r="BF155" s="87"/>
      <c r="BG155" s="87"/>
      <c r="BH155" s="87"/>
    </row>
    <row r="156" spans="1:60" x14ac:dyDescent="0.25">
      <c r="A156" s="87"/>
      <c r="B156" s="87"/>
      <c r="C156" s="87"/>
      <c r="D156" s="87"/>
      <c r="E156" s="87"/>
      <c r="F156" s="87"/>
      <c r="G156" s="87"/>
      <c r="H156" s="87"/>
      <c r="I156" s="87"/>
      <c r="J156" s="87"/>
      <c r="K156" s="87"/>
      <c r="L156" s="87"/>
      <c r="M156" s="87"/>
      <c r="N156" s="87"/>
      <c r="O156" s="87"/>
      <c r="P156" s="87"/>
      <c r="Q156" s="87"/>
      <c r="R156" s="87"/>
      <c r="S156" s="87"/>
      <c r="T156" s="87"/>
      <c r="U156" s="87"/>
      <c r="V156" s="87"/>
      <c r="W156" s="87"/>
      <c r="X156" s="87"/>
      <c r="Y156" s="87"/>
      <c r="Z156" s="87"/>
      <c r="AA156" s="87"/>
      <c r="AB156" s="87"/>
      <c r="AC156" s="87"/>
      <c r="AD156" s="87"/>
      <c r="AE156" s="87"/>
      <c r="AF156" s="87"/>
      <c r="AG156" s="87"/>
      <c r="AH156" s="87"/>
      <c r="AI156" s="87"/>
      <c r="AJ156" s="87"/>
      <c r="AK156" s="87"/>
      <c r="AL156" s="87"/>
      <c r="AM156" s="87"/>
      <c r="AN156" s="87"/>
      <c r="AO156" s="87"/>
      <c r="AP156" s="87"/>
      <c r="AQ156" s="87"/>
      <c r="AR156" s="87"/>
      <c r="AS156" s="87"/>
      <c r="AT156" s="87"/>
      <c r="AU156" s="87"/>
      <c r="AV156" s="87"/>
      <c r="AW156" s="87"/>
      <c r="AX156" s="87"/>
      <c r="AY156" s="87"/>
      <c r="AZ156" s="87"/>
      <c r="BA156" s="87"/>
      <c r="BB156" s="87"/>
      <c r="BC156" s="87"/>
      <c r="BD156" s="87"/>
      <c r="BE156" s="87"/>
      <c r="BF156" s="87"/>
      <c r="BG156" s="87"/>
      <c r="BH156" s="87"/>
    </row>
    <row r="157" spans="1:60" x14ac:dyDescent="0.25">
      <c r="A157" s="87"/>
      <c r="B157" s="87"/>
      <c r="C157" s="87"/>
      <c r="D157" s="87"/>
      <c r="E157" s="87"/>
      <c r="F157" s="87"/>
      <c r="G157" s="87"/>
      <c r="H157" s="87"/>
      <c r="I157" s="87"/>
      <c r="J157" s="87"/>
      <c r="K157" s="87"/>
      <c r="L157" s="87"/>
      <c r="M157" s="87"/>
      <c r="N157" s="87"/>
      <c r="O157" s="87"/>
      <c r="P157" s="87"/>
      <c r="Q157" s="87"/>
      <c r="R157" s="87"/>
      <c r="S157" s="87"/>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row>
    <row r="158" spans="1:60" x14ac:dyDescent="0.25">
      <c r="A158" s="87"/>
      <c r="B158" s="87"/>
      <c r="C158" s="87"/>
      <c r="D158" s="87"/>
      <c r="E158" s="87"/>
      <c r="F158" s="87"/>
      <c r="G158" s="87"/>
      <c r="H158" s="87"/>
      <c r="I158" s="87"/>
      <c r="J158" s="87"/>
      <c r="K158" s="87"/>
      <c r="L158" s="87"/>
      <c r="M158" s="87"/>
      <c r="N158" s="87"/>
      <c r="O158" s="87"/>
      <c r="P158" s="87"/>
      <c r="Q158" s="87"/>
      <c r="R158" s="87"/>
      <c r="S158" s="87"/>
      <c r="T158" s="87"/>
      <c r="U158" s="87"/>
      <c r="V158" s="87"/>
      <c r="W158" s="87"/>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c r="AY158" s="87"/>
      <c r="AZ158" s="87"/>
      <c r="BA158" s="87"/>
      <c r="BB158" s="87"/>
      <c r="BC158" s="87"/>
      <c r="BD158" s="87"/>
      <c r="BE158" s="87"/>
      <c r="BF158" s="87"/>
      <c r="BG158" s="87"/>
      <c r="BH158" s="87"/>
    </row>
    <row r="159" spans="1:60" x14ac:dyDescent="0.25">
      <c r="A159" s="87"/>
      <c r="B159" s="87"/>
      <c r="C159" s="87"/>
      <c r="D159" s="87"/>
      <c r="E159" s="87"/>
      <c r="F159" s="87"/>
      <c r="G159" s="87"/>
      <c r="H159" s="87"/>
      <c r="I159" s="87"/>
      <c r="J159" s="87"/>
      <c r="K159" s="87"/>
      <c r="L159" s="87"/>
      <c r="M159" s="87"/>
      <c r="N159" s="87"/>
      <c r="O159" s="87"/>
      <c r="P159" s="87"/>
      <c r="Q159" s="87"/>
      <c r="R159" s="87"/>
      <c r="S159" s="87"/>
      <c r="T159" s="87"/>
      <c r="U159" s="87"/>
      <c r="V159" s="87"/>
      <c r="W159" s="87"/>
      <c r="X159" s="87"/>
      <c r="Y159" s="87"/>
      <c r="Z159" s="87"/>
      <c r="AA159" s="87"/>
      <c r="AB159" s="87"/>
      <c r="AC159" s="87"/>
      <c r="AD159" s="87"/>
      <c r="AE159" s="87"/>
      <c r="AF159" s="87"/>
      <c r="AG159" s="87"/>
      <c r="AH159" s="87"/>
      <c r="AI159" s="87"/>
      <c r="AJ159" s="87"/>
      <c r="AK159" s="87"/>
      <c r="AL159" s="87"/>
      <c r="AM159" s="87"/>
      <c r="AN159" s="87"/>
      <c r="AO159" s="87"/>
      <c r="AP159" s="87"/>
      <c r="AQ159" s="87"/>
      <c r="AR159" s="87"/>
      <c r="AS159" s="87"/>
      <c r="AT159" s="87"/>
      <c r="AU159" s="87"/>
      <c r="AV159" s="87"/>
      <c r="AW159" s="87"/>
      <c r="AX159" s="87"/>
      <c r="AY159" s="87"/>
      <c r="AZ159" s="87"/>
      <c r="BA159" s="87"/>
      <c r="BB159" s="87"/>
      <c r="BC159" s="87"/>
      <c r="BD159" s="87"/>
      <c r="BE159" s="87"/>
      <c r="BF159" s="87"/>
      <c r="BG159" s="87"/>
      <c r="BH159" s="87"/>
    </row>
    <row r="160" spans="1:60" x14ac:dyDescent="0.25">
      <c r="A160" s="87"/>
      <c r="B160" s="87"/>
      <c r="C160" s="87"/>
      <c r="D160" s="87"/>
      <c r="E160" s="87"/>
      <c r="F160" s="87"/>
      <c r="G160" s="87"/>
      <c r="H160" s="87"/>
      <c r="I160" s="87"/>
      <c r="J160" s="87"/>
      <c r="K160" s="87"/>
      <c r="L160" s="87"/>
      <c r="M160" s="87"/>
      <c r="N160" s="87"/>
      <c r="O160" s="87"/>
      <c r="P160" s="87"/>
      <c r="Q160" s="87"/>
      <c r="R160" s="87"/>
      <c r="S160" s="87"/>
      <c r="T160" s="87"/>
      <c r="U160" s="87"/>
      <c r="V160" s="87"/>
      <c r="W160" s="87"/>
      <c r="X160" s="87"/>
      <c r="Y160" s="87"/>
      <c r="Z160" s="87"/>
      <c r="AA160" s="87"/>
      <c r="AB160" s="87"/>
      <c r="AC160" s="87"/>
      <c r="AD160" s="87"/>
      <c r="AE160" s="87"/>
      <c r="AF160" s="87"/>
      <c r="AG160" s="87"/>
      <c r="AH160" s="87"/>
      <c r="AI160" s="87"/>
      <c r="AJ160" s="87"/>
      <c r="AK160" s="87"/>
      <c r="AL160" s="87"/>
      <c r="AM160" s="87"/>
      <c r="AN160" s="87"/>
      <c r="AO160" s="87"/>
      <c r="AP160" s="87"/>
      <c r="AQ160" s="87"/>
      <c r="AR160" s="87"/>
      <c r="AS160" s="87"/>
      <c r="AT160" s="87"/>
      <c r="AU160" s="87"/>
      <c r="AV160" s="87"/>
      <c r="AW160" s="87"/>
      <c r="AX160" s="87"/>
      <c r="AY160" s="87"/>
      <c r="AZ160" s="87"/>
      <c r="BA160" s="87"/>
      <c r="BB160" s="87"/>
      <c r="BC160" s="87"/>
      <c r="BD160" s="87"/>
      <c r="BE160" s="87"/>
      <c r="BF160" s="87"/>
      <c r="BG160" s="87"/>
      <c r="BH160" s="87"/>
    </row>
    <row r="161" spans="1:60" x14ac:dyDescent="0.25">
      <c r="A161" s="87"/>
      <c r="B161" s="87"/>
      <c r="C161" s="87"/>
      <c r="D161" s="87"/>
      <c r="E161" s="87"/>
      <c r="F161" s="87"/>
      <c r="G161" s="87"/>
      <c r="H161" s="87"/>
      <c r="I161" s="87"/>
      <c r="J161" s="87"/>
      <c r="K161" s="87"/>
      <c r="L161" s="87"/>
      <c r="M161" s="87"/>
      <c r="N161" s="87"/>
      <c r="O161" s="87"/>
      <c r="P161" s="87"/>
      <c r="Q161" s="87"/>
      <c r="R161" s="87"/>
      <c r="S161" s="87"/>
      <c r="T161" s="87"/>
      <c r="U161" s="87"/>
      <c r="V161" s="87"/>
      <c r="W161" s="87"/>
      <c r="X161" s="87"/>
      <c r="Y161" s="87"/>
      <c r="Z161" s="87"/>
      <c r="AA161" s="87"/>
      <c r="AB161" s="87"/>
      <c r="AC161" s="87"/>
      <c r="AD161" s="87"/>
      <c r="AE161" s="87"/>
      <c r="AF161" s="87"/>
      <c r="AG161" s="87"/>
      <c r="AH161" s="87"/>
      <c r="AI161" s="87"/>
      <c r="AJ161" s="87"/>
      <c r="AK161" s="87"/>
      <c r="AL161" s="87"/>
      <c r="AM161" s="87"/>
      <c r="AN161" s="87"/>
      <c r="AO161" s="87"/>
      <c r="AP161" s="87"/>
      <c r="AQ161" s="87"/>
      <c r="AR161" s="87"/>
      <c r="AS161" s="87"/>
      <c r="AT161" s="87"/>
      <c r="AU161" s="87"/>
      <c r="AV161" s="87"/>
      <c r="AW161" s="87"/>
      <c r="AX161" s="87"/>
      <c r="AY161" s="87"/>
      <c r="AZ161" s="87"/>
      <c r="BA161" s="87"/>
      <c r="BB161" s="87"/>
      <c r="BC161" s="87"/>
      <c r="BD161" s="87"/>
      <c r="BE161" s="87"/>
      <c r="BF161" s="87"/>
      <c r="BG161" s="87"/>
      <c r="BH161" s="87"/>
    </row>
    <row r="162" spans="1:60" x14ac:dyDescent="0.25">
      <c r="A162" s="87"/>
      <c r="B162" s="87"/>
      <c r="C162" s="87"/>
      <c r="D162" s="87"/>
      <c r="E162" s="87"/>
      <c r="F162" s="87"/>
      <c r="G162" s="87"/>
      <c r="H162" s="87"/>
      <c r="I162" s="87"/>
      <c r="J162" s="87"/>
      <c r="K162" s="87"/>
      <c r="L162" s="87"/>
      <c r="M162" s="87"/>
      <c r="N162" s="87"/>
      <c r="O162" s="87"/>
      <c r="P162" s="87"/>
      <c r="Q162" s="87"/>
      <c r="R162" s="87"/>
      <c r="S162" s="87"/>
      <c r="T162" s="87"/>
      <c r="U162" s="87"/>
      <c r="V162" s="87"/>
      <c r="W162" s="87"/>
      <c r="X162" s="87"/>
      <c r="Y162" s="87"/>
      <c r="Z162" s="87"/>
      <c r="AA162" s="87"/>
      <c r="AB162" s="87"/>
      <c r="AC162" s="87"/>
      <c r="AD162" s="87"/>
      <c r="AE162" s="87"/>
      <c r="AF162" s="87"/>
      <c r="AG162" s="87"/>
      <c r="AH162" s="87"/>
      <c r="AI162" s="87"/>
      <c r="AJ162" s="87"/>
      <c r="AK162" s="87"/>
      <c r="AL162" s="87"/>
      <c r="AM162" s="87"/>
      <c r="AN162" s="87"/>
      <c r="AO162" s="87"/>
      <c r="AP162" s="87"/>
      <c r="AQ162" s="87"/>
      <c r="AR162" s="87"/>
      <c r="AS162" s="87"/>
      <c r="AT162" s="87"/>
      <c r="AU162" s="87"/>
      <c r="AV162" s="87"/>
      <c r="AW162" s="87"/>
      <c r="AX162" s="87"/>
      <c r="AY162" s="87"/>
      <c r="AZ162" s="87"/>
      <c r="BA162" s="87"/>
      <c r="BB162" s="87"/>
      <c r="BC162" s="87"/>
      <c r="BD162" s="87"/>
      <c r="BE162" s="87"/>
      <c r="BF162" s="87"/>
      <c r="BG162" s="87"/>
      <c r="BH162" s="87"/>
    </row>
    <row r="163" spans="1:60" x14ac:dyDescent="0.25">
      <c r="A163" s="87"/>
      <c r="B163" s="87"/>
      <c r="C163" s="87"/>
      <c r="D163" s="87"/>
      <c r="E163" s="87"/>
      <c r="F163" s="87"/>
      <c r="G163" s="87"/>
      <c r="H163" s="87"/>
      <c r="I163" s="87"/>
      <c r="J163" s="87"/>
      <c r="K163" s="87"/>
      <c r="L163" s="87"/>
      <c r="M163" s="87"/>
      <c r="N163" s="87"/>
      <c r="O163" s="87"/>
      <c r="P163" s="87"/>
      <c r="Q163" s="87"/>
      <c r="R163" s="87"/>
      <c r="S163" s="87"/>
      <c r="T163" s="87"/>
      <c r="U163" s="87"/>
      <c r="V163" s="87"/>
      <c r="W163" s="87"/>
      <c r="X163" s="87"/>
      <c r="Y163" s="87"/>
      <c r="Z163" s="87"/>
      <c r="AA163" s="87"/>
      <c r="AB163" s="87"/>
      <c r="AC163" s="87"/>
      <c r="AD163" s="87"/>
      <c r="AE163" s="87"/>
      <c r="AF163" s="87"/>
      <c r="AG163" s="87"/>
      <c r="AH163" s="87"/>
      <c r="AI163" s="87"/>
      <c r="AJ163" s="87"/>
      <c r="AK163" s="87"/>
      <c r="AL163" s="87"/>
      <c r="AM163" s="87"/>
      <c r="AN163" s="87"/>
      <c r="AO163" s="87"/>
      <c r="AP163" s="87"/>
      <c r="AQ163" s="87"/>
      <c r="AR163" s="87"/>
      <c r="AS163" s="87"/>
      <c r="AT163" s="87"/>
      <c r="AU163" s="87"/>
      <c r="AV163" s="87"/>
      <c r="AW163" s="87"/>
      <c r="AX163" s="87"/>
      <c r="AY163" s="87"/>
      <c r="AZ163" s="87"/>
      <c r="BA163" s="87"/>
      <c r="BB163" s="87"/>
      <c r="BC163" s="87"/>
      <c r="BD163" s="87"/>
      <c r="BE163" s="87"/>
      <c r="BF163" s="87"/>
      <c r="BG163" s="87"/>
      <c r="BH163" s="87"/>
    </row>
    <row r="164" spans="1:60" x14ac:dyDescent="0.25">
      <c r="A164" s="87"/>
      <c r="B164" s="87"/>
      <c r="C164" s="87"/>
      <c r="D164" s="87"/>
      <c r="E164" s="87"/>
      <c r="F164" s="87"/>
      <c r="G164" s="87"/>
      <c r="H164" s="87"/>
      <c r="I164" s="87"/>
      <c r="J164" s="87"/>
      <c r="K164" s="87"/>
      <c r="L164" s="87"/>
      <c r="M164" s="87"/>
      <c r="N164" s="87"/>
      <c r="O164" s="87"/>
      <c r="P164" s="87"/>
      <c r="Q164" s="87"/>
      <c r="R164" s="87"/>
      <c r="S164" s="87"/>
      <c r="T164" s="87"/>
      <c r="U164" s="87"/>
      <c r="V164" s="87"/>
      <c r="W164" s="87"/>
      <c r="X164" s="87"/>
      <c r="Y164" s="87"/>
      <c r="Z164" s="87"/>
      <c r="AA164" s="87"/>
      <c r="AB164" s="87"/>
      <c r="AC164" s="87"/>
      <c r="AD164" s="87"/>
      <c r="AE164" s="87"/>
      <c r="AF164" s="87"/>
      <c r="AG164" s="87"/>
      <c r="AH164" s="87"/>
      <c r="AI164" s="87"/>
      <c r="AJ164" s="87"/>
      <c r="AK164" s="87"/>
      <c r="AL164" s="87"/>
      <c r="AM164" s="87"/>
      <c r="AN164" s="87"/>
      <c r="AO164" s="87"/>
      <c r="AP164" s="87"/>
      <c r="AQ164" s="87"/>
      <c r="AR164" s="87"/>
      <c r="AS164" s="87"/>
      <c r="AT164" s="87"/>
      <c r="AU164" s="87"/>
      <c r="AV164" s="87"/>
      <c r="AW164" s="87"/>
      <c r="AX164" s="87"/>
      <c r="AY164" s="87"/>
      <c r="AZ164" s="87"/>
      <c r="BA164" s="87"/>
      <c r="BB164" s="87"/>
      <c r="BC164" s="87"/>
      <c r="BD164" s="87"/>
      <c r="BE164" s="87"/>
      <c r="BF164" s="87"/>
      <c r="BG164" s="87"/>
      <c r="BH164" s="87"/>
    </row>
    <row r="165" spans="1:60" x14ac:dyDescent="0.25">
      <c r="A165" s="87"/>
      <c r="B165" s="87"/>
      <c r="C165" s="87"/>
      <c r="D165" s="87"/>
      <c r="E165" s="87"/>
      <c r="F165" s="87"/>
      <c r="G165" s="87"/>
      <c r="H165" s="87"/>
      <c r="I165" s="87"/>
      <c r="J165" s="87"/>
      <c r="K165" s="87"/>
      <c r="L165" s="87"/>
      <c r="M165" s="87"/>
      <c r="N165" s="87"/>
      <c r="O165" s="87"/>
      <c r="P165" s="87"/>
      <c r="Q165" s="87"/>
      <c r="R165" s="87"/>
      <c r="S165" s="87"/>
      <c r="T165" s="87"/>
      <c r="U165" s="87"/>
      <c r="V165" s="87"/>
      <c r="W165" s="87"/>
      <c r="X165" s="87"/>
      <c r="Y165" s="87"/>
      <c r="Z165" s="87"/>
      <c r="AA165" s="87"/>
      <c r="AB165" s="87"/>
      <c r="AC165" s="87"/>
      <c r="AD165" s="87"/>
      <c r="AE165" s="87"/>
      <c r="AF165" s="87"/>
      <c r="AG165" s="87"/>
      <c r="AH165" s="87"/>
      <c r="AI165" s="87"/>
      <c r="AJ165" s="87"/>
      <c r="AK165" s="87"/>
      <c r="AL165" s="87"/>
      <c r="AM165" s="87"/>
      <c r="AN165" s="87"/>
      <c r="AO165" s="87"/>
      <c r="AP165" s="87"/>
      <c r="AQ165" s="87"/>
      <c r="AR165" s="87"/>
      <c r="AS165" s="87"/>
      <c r="AT165" s="87"/>
      <c r="AU165" s="87"/>
      <c r="AV165" s="87"/>
      <c r="AW165" s="87"/>
      <c r="AX165" s="87"/>
      <c r="AY165" s="87"/>
      <c r="AZ165" s="87"/>
      <c r="BA165" s="87"/>
      <c r="BB165" s="87"/>
      <c r="BC165" s="87"/>
      <c r="BD165" s="87"/>
      <c r="BE165" s="87"/>
      <c r="BF165" s="87"/>
      <c r="BG165" s="87"/>
      <c r="BH165" s="87"/>
    </row>
    <row r="166" spans="1:60" x14ac:dyDescent="0.25">
      <c r="A166" s="87"/>
      <c r="B166" s="87"/>
      <c r="C166" s="87"/>
      <c r="D166" s="87"/>
      <c r="E166" s="87"/>
      <c r="F166" s="87"/>
      <c r="G166" s="87"/>
      <c r="H166" s="87"/>
      <c r="I166" s="87"/>
      <c r="J166" s="87"/>
      <c r="K166" s="87"/>
      <c r="L166" s="87"/>
      <c r="M166" s="87"/>
      <c r="N166" s="87"/>
      <c r="O166" s="87"/>
      <c r="P166" s="87"/>
      <c r="Q166" s="87"/>
      <c r="R166" s="87"/>
      <c r="S166" s="87"/>
      <c r="T166" s="87"/>
      <c r="U166" s="87"/>
      <c r="V166" s="87"/>
      <c r="W166" s="87"/>
      <c r="X166" s="87"/>
      <c r="Y166" s="87"/>
      <c r="Z166" s="87"/>
      <c r="AA166" s="87"/>
      <c r="AB166" s="87"/>
      <c r="AC166" s="87"/>
      <c r="AD166" s="87"/>
      <c r="AE166" s="87"/>
      <c r="AF166" s="87"/>
      <c r="AG166" s="87"/>
      <c r="AH166" s="87"/>
      <c r="AI166" s="87"/>
      <c r="AJ166" s="87"/>
      <c r="AK166" s="87"/>
      <c r="AL166" s="87"/>
      <c r="AM166" s="87"/>
      <c r="AN166" s="87"/>
      <c r="AO166" s="87"/>
      <c r="AP166" s="87"/>
      <c r="AQ166" s="87"/>
      <c r="AR166" s="87"/>
      <c r="AS166" s="87"/>
      <c r="AT166" s="87"/>
      <c r="AU166" s="87"/>
      <c r="AV166" s="87"/>
      <c r="AW166" s="87"/>
      <c r="AX166" s="87"/>
      <c r="AY166" s="87"/>
      <c r="AZ166" s="87"/>
      <c r="BA166" s="87"/>
      <c r="BB166" s="87"/>
      <c r="BC166" s="87"/>
      <c r="BD166" s="87"/>
      <c r="BE166" s="87"/>
      <c r="BF166" s="87"/>
      <c r="BG166" s="87"/>
      <c r="BH166" s="87"/>
    </row>
    <row r="167" spans="1:60" x14ac:dyDescent="0.25">
      <c r="A167" s="87"/>
      <c r="B167" s="87"/>
      <c r="C167" s="87"/>
      <c r="D167" s="87"/>
      <c r="E167" s="87"/>
      <c r="F167" s="87"/>
      <c r="G167" s="87"/>
      <c r="H167" s="87"/>
      <c r="I167" s="87"/>
      <c r="J167" s="87"/>
      <c r="K167" s="87"/>
      <c r="L167" s="87"/>
      <c r="M167" s="87"/>
      <c r="N167" s="87"/>
      <c r="O167" s="87"/>
      <c r="P167" s="87"/>
      <c r="Q167" s="87"/>
      <c r="R167" s="87"/>
      <c r="S167" s="87"/>
      <c r="T167" s="87"/>
      <c r="U167" s="87"/>
      <c r="V167" s="87"/>
      <c r="W167" s="87"/>
      <c r="X167" s="87"/>
      <c r="Y167" s="87"/>
      <c r="Z167" s="87"/>
      <c r="AA167" s="87"/>
      <c r="AB167" s="87"/>
      <c r="AC167" s="87"/>
      <c r="AD167" s="87"/>
      <c r="AE167" s="87"/>
      <c r="AF167" s="87"/>
      <c r="AG167" s="87"/>
      <c r="AH167" s="87"/>
      <c r="AI167" s="87"/>
      <c r="AJ167" s="87"/>
      <c r="AK167" s="87"/>
      <c r="AL167" s="87"/>
      <c r="AM167" s="87"/>
      <c r="AN167" s="87"/>
      <c r="AO167" s="87"/>
      <c r="AP167" s="87"/>
      <c r="AQ167" s="87"/>
      <c r="AR167" s="87"/>
      <c r="AS167" s="87"/>
      <c r="AT167" s="87"/>
      <c r="AU167" s="87"/>
      <c r="AV167" s="87"/>
      <c r="AW167" s="87"/>
      <c r="AX167" s="87"/>
      <c r="AY167" s="87"/>
      <c r="AZ167" s="87"/>
      <c r="BA167" s="87"/>
      <c r="BB167" s="87"/>
      <c r="BC167" s="87"/>
      <c r="BD167" s="87"/>
      <c r="BE167" s="87"/>
      <c r="BF167" s="87"/>
      <c r="BG167" s="87"/>
      <c r="BH167" s="87"/>
    </row>
    <row r="168" spans="1:60" x14ac:dyDescent="0.25">
      <c r="A168" s="87"/>
      <c r="B168" s="87"/>
      <c r="C168" s="87"/>
      <c r="D168" s="87"/>
      <c r="E168" s="87"/>
      <c r="F168" s="87"/>
      <c r="G168" s="87"/>
      <c r="H168" s="87"/>
      <c r="I168" s="87"/>
      <c r="J168" s="87"/>
      <c r="K168" s="87"/>
      <c r="L168" s="87"/>
      <c r="M168" s="87"/>
      <c r="N168" s="87"/>
      <c r="O168" s="87"/>
      <c r="P168" s="87"/>
      <c r="Q168" s="87"/>
      <c r="R168" s="87"/>
      <c r="S168" s="87"/>
      <c r="T168" s="87"/>
      <c r="U168" s="87"/>
      <c r="V168" s="87"/>
      <c r="W168" s="87"/>
      <c r="X168" s="87"/>
      <c r="Y168" s="87"/>
      <c r="Z168" s="87"/>
      <c r="AA168" s="87"/>
      <c r="AB168" s="87"/>
      <c r="AC168" s="87"/>
      <c r="AD168" s="87"/>
      <c r="AE168" s="87"/>
      <c r="AF168" s="87"/>
      <c r="AG168" s="87"/>
      <c r="AH168" s="87"/>
      <c r="AI168" s="87"/>
      <c r="AJ168" s="87"/>
      <c r="AK168" s="87"/>
      <c r="AL168" s="87"/>
      <c r="AM168" s="87"/>
      <c r="AN168" s="87"/>
      <c r="AO168" s="87"/>
      <c r="AP168" s="87"/>
      <c r="AQ168" s="87"/>
      <c r="AR168" s="87"/>
      <c r="AS168" s="87"/>
      <c r="AT168" s="87"/>
      <c r="AU168" s="87"/>
      <c r="AV168" s="87"/>
      <c r="AW168" s="87"/>
      <c r="AX168" s="87"/>
      <c r="AY168" s="87"/>
      <c r="AZ168" s="87"/>
      <c r="BA168" s="87"/>
      <c r="BB168" s="87"/>
      <c r="BC168" s="87"/>
      <c r="BD168" s="87"/>
      <c r="BE168" s="87"/>
      <c r="BF168" s="87"/>
      <c r="BG168" s="87"/>
      <c r="BH168" s="87"/>
    </row>
    <row r="169" spans="1:60" x14ac:dyDescent="0.25">
      <c r="A169" s="87"/>
      <c r="B169" s="87"/>
      <c r="C169" s="87"/>
      <c r="D169" s="87"/>
      <c r="E169" s="87"/>
      <c r="F169" s="87"/>
      <c r="G169" s="87"/>
      <c r="H169" s="87"/>
      <c r="I169" s="87"/>
      <c r="J169" s="87"/>
      <c r="K169" s="87"/>
      <c r="L169" s="87"/>
      <c r="M169" s="87"/>
      <c r="N169" s="87"/>
      <c r="O169" s="87"/>
      <c r="P169" s="87"/>
      <c r="Q169" s="87"/>
      <c r="R169" s="87"/>
      <c r="S169" s="87"/>
      <c r="T169" s="87"/>
      <c r="U169" s="87"/>
      <c r="V169" s="87"/>
      <c r="W169" s="87"/>
      <c r="X169" s="87"/>
      <c r="Y169" s="87"/>
      <c r="Z169" s="87"/>
      <c r="AA169" s="87"/>
      <c r="AB169" s="87"/>
      <c r="AC169" s="87"/>
      <c r="AD169" s="87"/>
      <c r="AE169" s="87"/>
      <c r="AF169" s="87"/>
      <c r="AG169" s="87"/>
      <c r="AH169" s="87"/>
      <c r="AI169" s="87"/>
      <c r="AJ169" s="87"/>
      <c r="AK169" s="87"/>
      <c r="AL169" s="87"/>
      <c r="AM169" s="87"/>
      <c r="AN169" s="87"/>
      <c r="AO169" s="87"/>
      <c r="AP169" s="87"/>
      <c r="AQ169" s="87"/>
      <c r="AR169" s="87"/>
      <c r="AS169" s="87"/>
      <c r="AT169" s="87"/>
      <c r="AU169" s="87"/>
      <c r="AV169" s="87"/>
      <c r="AW169" s="87"/>
      <c r="AX169" s="87"/>
      <c r="AY169" s="87"/>
      <c r="AZ169" s="87"/>
      <c r="BA169" s="87"/>
      <c r="BB169" s="87"/>
      <c r="BC169" s="87"/>
      <c r="BD169" s="87"/>
      <c r="BE169" s="87"/>
      <c r="BF169" s="87"/>
      <c r="BG169" s="87"/>
      <c r="BH169" s="87"/>
    </row>
    <row r="170" spans="1:60" x14ac:dyDescent="0.25">
      <c r="A170" s="87"/>
      <c r="B170" s="87"/>
      <c r="C170" s="87"/>
      <c r="D170" s="87"/>
      <c r="E170" s="87"/>
      <c r="F170" s="87"/>
      <c r="G170" s="87"/>
      <c r="H170" s="87"/>
      <c r="I170" s="87"/>
      <c r="J170" s="87"/>
      <c r="K170" s="87"/>
      <c r="L170" s="87"/>
      <c r="M170" s="87"/>
      <c r="N170" s="87"/>
      <c r="O170" s="87"/>
      <c r="P170" s="87"/>
      <c r="Q170" s="87"/>
      <c r="R170" s="87"/>
      <c r="S170" s="87"/>
      <c r="T170" s="87"/>
      <c r="U170" s="87"/>
      <c r="V170" s="87"/>
      <c r="W170" s="87"/>
      <c r="X170" s="87"/>
      <c r="Y170" s="87"/>
      <c r="Z170" s="87"/>
      <c r="AA170" s="87"/>
      <c r="AB170" s="87"/>
      <c r="AC170" s="87"/>
      <c r="AD170" s="87"/>
      <c r="AE170" s="87"/>
      <c r="AF170" s="87"/>
      <c r="AG170" s="87"/>
      <c r="AH170" s="87"/>
      <c r="AI170" s="87"/>
      <c r="AJ170" s="87"/>
      <c r="AK170" s="87"/>
      <c r="AL170" s="87"/>
      <c r="AM170" s="87"/>
      <c r="AN170" s="87"/>
      <c r="AO170" s="87"/>
      <c r="AP170" s="87"/>
      <c r="AQ170" s="87"/>
      <c r="AR170" s="87"/>
      <c r="AS170" s="87"/>
      <c r="AT170" s="87"/>
      <c r="AU170" s="87"/>
      <c r="AV170" s="87"/>
      <c r="AW170" s="87"/>
      <c r="AX170" s="87"/>
      <c r="AY170" s="87"/>
      <c r="AZ170" s="87"/>
      <c r="BA170" s="87"/>
      <c r="BB170" s="87"/>
      <c r="BC170" s="87"/>
      <c r="BD170" s="87"/>
      <c r="BE170" s="87"/>
      <c r="BF170" s="87"/>
      <c r="BG170" s="87"/>
      <c r="BH170" s="87"/>
    </row>
    <row r="171" spans="1:60" x14ac:dyDescent="0.25">
      <c r="A171" s="87"/>
      <c r="B171" s="87"/>
      <c r="C171" s="87"/>
      <c r="D171" s="87"/>
      <c r="E171" s="87"/>
      <c r="F171" s="87"/>
      <c r="G171" s="87"/>
      <c r="H171" s="87"/>
      <c r="I171" s="87"/>
      <c r="J171" s="87"/>
      <c r="K171" s="87"/>
      <c r="L171" s="87"/>
      <c r="M171" s="87"/>
      <c r="N171" s="87"/>
      <c r="O171" s="87"/>
      <c r="P171" s="87"/>
      <c r="Q171" s="87"/>
      <c r="R171" s="87"/>
      <c r="S171" s="87"/>
      <c r="T171" s="87"/>
      <c r="U171" s="87"/>
      <c r="V171" s="87"/>
      <c r="W171" s="87"/>
      <c r="X171" s="87"/>
      <c r="Y171" s="87"/>
      <c r="Z171" s="87"/>
      <c r="AA171" s="87"/>
      <c r="AB171" s="87"/>
      <c r="AC171" s="87"/>
      <c r="AD171" s="87"/>
      <c r="AE171" s="87"/>
      <c r="AF171" s="87"/>
      <c r="AG171" s="87"/>
      <c r="AH171" s="87"/>
      <c r="AI171" s="87"/>
      <c r="AJ171" s="87"/>
      <c r="AK171" s="87"/>
      <c r="AL171" s="87"/>
      <c r="AM171" s="87"/>
      <c r="AN171" s="87"/>
      <c r="AO171" s="87"/>
      <c r="AP171" s="87"/>
      <c r="AQ171" s="87"/>
      <c r="AR171" s="87"/>
      <c r="AS171" s="87"/>
      <c r="AT171" s="87"/>
      <c r="AU171" s="87"/>
      <c r="AV171" s="87"/>
      <c r="AW171" s="87"/>
      <c r="AX171" s="87"/>
      <c r="AY171" s="87"/>
      <c r="AZ171" s="87"/>
      <c r="BA171" s="87"/>
      <c r="BB171" s="87"/>
      <c r="BC171" s="87"/>
      <c r="BD171" s="87"/>
      <c r="BE171" s="87"/>
      <c r="BF171" s="87"/>
      <c r="BG171" s="87"/>
      <c r="BH171" s="87"/>
    </row>
    <row r="172" spans="1:60" x14ac:dyDescent="0.25">
      <c r="A172" s="87"/>
      <c r="B172" s="87"/>
      <c r="C172" s="87"/>
      <c r="D172" s="87"/>
      <c r="E172" s="87"/>
      <c r="F172" s="87"/>
      <c r="G172" s="87"/>
      <c r="H172" s="87"/>
      <c r="I172" s="87"/>
      <c r="J172" s="87"/>
      <c r="K172" s="87"/>
      <c r="L172" s="87"/>
      <c r="M172" s="87"/>
      <c r="N172" s="87"/>
      <c r="O172" s="87"/>
      <c r="P172" s="87"/>
      <c r="Q172" s="87"/>
      <c r="R172" s="87"/>
      <c r="S172" s="87"/>
      <c r="T172" s="87"/>
      <c r="U172" s="87"/>
      <c r="V172" s="87"/>
      <c r="W172" s="87"/>
      <c r="X172" s="87"/>
      <c r="Y172" s="87"/>
      <c r="Z172" s="87"/>
      <c r="AA172" s="87"/>
      <c r="AB172" s="87"/>
      <c r="AC172" s="87"/>
      <c r="AD172" s="87"/>
      <c r="AE172" s="87"/>
      <c r="AF172" s="87"/>
      <c r="AG172" s="87"/>
      <c r="AH172" s="87"/>
      <c r="AI172" s="87"/>
      <c r="AJ172" s="87"/>
      <c r="AK172" s="87"/>
      <c r="AL172" s="87"/>
      <c r="AM172" s="87"/>
      <c r="AN172" s="87"/>
      <c r="AO172" s="87"/>
      <c r="AP172" s="87"/>
      <c r="AQ172" s="87"/>
      <c r="AR172" s="87"/>
      <c r="AS172" s="87"/>
      <c r="AT172" s="87"/>
      <c r="AU172" s="87"/>
      <c r="AV172" s="87"/>
      <c r="AW172" s="87"/>
      <c r="AX172" s="87"/>
      <c r="AY172" s="87"/>
      <c r="AZ172" s="87"/>
      <c r="BA172" s="87"/>
      <c r="BB172" s="87"/>
      <c r="BC172" s="87"/>
      <c r="BD172" s="87"/>
      <c r="BE172" s="87"/>
      <c r="BF172" s="87"/>
      <c r="BG172" s="87"/>
      <c r="BH172" s="87"/>
    </row>
    <row r="173" spans="1:60" x14ac:dyDescent="0.25">
      <c r="A173" s="87"/>
      <c r="B173" s="87"/>
      <c r="C173" s="87"/>
      <c r="D173" s="87"/>
      <c r="E173" s="87"/>
      <c r="F173" s="87"/>
      <c r="G173" s="87"/>
      <c r="H173" s="87"/>
      <c r="I173" s="87"/>
      <c r="J173" s="87"/>
      <c r="K173" s="87"/>
      <c r="L173" s="87"/>
      <c r="M173" s="87"/>
      <c r="N173" s="87"/>
      <c r="O173" s="87"/>
      <c r="P173" s="87"/>
      <c r="Q173" s="87"/>
      <c r="R173" s="87"/>
      <c r="S173" s="87"/>
      <c r="T173" s="87"/>
      <c r="U173" s="87"/>
      <c r="V173" s="87"/>
      <c r="W173" s="87"/>
      <c r="X173" s="87"/>
      <c r="Y173" s="87"/>
      <c r="Z173" s="87"/>
      <c r="AA173" s="87"/>
      <c r="AB173" s="87"/>
      <c r="AC173" s="87"/>
      <c r="AD173" s="87"/>
      <c r="AE173" s="87"/>
      <c r="AF173" s="87"/>
      <c r="AG173" s="87"/>
      <c r="AH173" s="87"/>
      <c r="AI173" s="87"/>
      <c r="AJ173" s="87"/>
      <c r="AK173" s="87"/>
      <c r="AL173" s="87"/>
      <c r="AM173" s="87"/>
      <c r="AN173" s="87"/>
      <c r="AO173" s="87"/>
      <c r="AP173" s="87"/>
      <c r="AQ173" s="87"/>
      <c r="AR173" s="87"/>
      <c r="AS173" s="87"/>
      <c r="AT173" s="87"/>
      <c r="AU173" s="87"/>
      <c r="AV173" s="87"/>
      <c r="AW173" s="87"/>
      <c r="AX173" s="87"/>
      <c r="AY173" s="87"/>
      <c r="AZ173" s="87"/>
      <c r="BA173" s="87"/>
      <c r="BB173" s="87"/>
      <c r="BC173" s="87"/>
      <c r="BD173" s="87"/>
      <c r="BE173" s="87"/>
      <c r="BF173" s="87"/>
      <c r="BG173" s="87"/>
      <c r="BH173" s="87"/>
    </row>
    <row r="174" spans="1:60" x14ac:dyDescent="0.25">
      <c r="A174" s="87"/>
      <c r="B174" s="87"/>
      <c r="C174" s="87"/>
      <c r="D174" s="87"/>
      <c r="E174" s="87"/>
      <c r="F174" s="87"/>
      <c r="G174" s="87"/>
      <c r="H174" s="87"/>
      <c r="I174" s="87"/>
      <c r="J174" s="87"/>
      <c r="K174" s="87"/>
      <c r="L174" s="87"/>
      <c r="M174" s="87"/>
      <c r="N174" s="87"/>
      <c r="O174" s="87"/>
      <c r="P174" s="87"/>
      <c r="Q174" s="87"/>
      <c r="R174" s="87"/>
      <c r="S174" s="87"/>
      <c r="T174" s="87"/>
      <c r="U174" s="87"/>
      <c r="V174" s="87"/>
      <c r="W174" s="87"/>
      <c r="X174" s="87"/>
      <c r="Y174" s="87"/>
      <c r="Z174" s="87"/>
      <c r="AA174" s="87"/>
      <c r="AB174" s="87"/>
      <c r="AC174" s="87"/>
      <c r="AD174" s="87"/>
      <c r="AE174" s="87"/>
      <c r="AF174" s="87"/>
      <c r="AG174" s="87"/>
      <c r="AH174" s="87"/>
      <c r="AI174" s="87"/>
      <c r="AJ174" s="87"/>
      <c r="AK174" s="87"/>
      <c r="AL174" s="87"/>
      <c r="AM174" s="87"/>
      <c r="AN174" s="87"/>
      <c r="AO174" s="87"/>
      <c r="AP174" s="87"/>
      <c r="AQ174" s="87"/>
      <c r="AR174" s="87"/>
      <c r="AS174" s="87"/>
      <c r="AT174" s="87"/>
      <c r="AU174" s="87"/>
      <c r="AV174" s="87"/>
      <c r="AW174" s="87"/>
      <c r="AX174" s="87"/>
      <c r="AY174" s="87"/>
      <c r="AZ174" s="87"/>
      <c r="BA174" s="87"/>
      <c r="BB174" s="87"/>
      <c r="BC174" s="87"/>
      <c r="BD174" s="87"/>
      <c r="BE174" s="87"/>
      <c r="BF174" s="87"/>
      <c r="BG174" s="87"/>
      <c r="BH174" s="87"/>
    </row>
    <row r="175" spans="1:60" x14ac:dyDescent="0.25">
      <c r="A175" s="87"/>
      <c r="B175" s="87"/>
      <c r="C175" s="87"/>
      <c r="D175" s="87"/>
      <c r="E175" s="87"/>
      <c r="F175" s="87"/>
      <c r="G175" s="87"/>
      <c r="H175" s="87"/>
      <c r="I175" s="87"/>
      <c r="J175" s="87"/>
      <c r="K175" s="87"/>
      <c r="L175" s="87"/>
      <c r="M175" s="87"/>
      <c r="N175" s="87"/>
      <c r="O175" s="87"/>
      <c r="P175" s="87"/>
      <c r="Q175" s="87"/>
      <c r="R175" s="87"/>
      <c r="S175" s="87"/>
      <c r="T175" s="87"/>
      <c r="U175" s="87"/>
      <c r="V175" s="87"/>
      <c r="W175" s="87"/>
      <c r="X175" s="87"/>
      <c r="Y175" s="87"/>
      <c r="Z175" s="87"/>
      <c r="AA175" s="87"/>
      <c r="AB175" s="87"/>
      <c r="AC175" s="87"/>
      <c r="AD175" s="87"/>
      <c r="AE175" s="87"/>
      <c r="AF175" s="87"/>
      <c r="AG175" s="87"/>
      <c r="AH175" s="87"/>
      <c r="AI175" s="87"/>
      <c r="AJ175" s="87"/>
      <c r="AK175" s="87"/>
      <c r="AL175" s="87"/>
      <c r="AM175" s="87"/>
      <c r="AN175" s="87"/>
      <c r="AO175" s="87"/>
      <c r="AP175" s="87"/>
      <c r="AQ175" s="87"/>
      <c r="AR175" s="87"/>
      <c r="AS175" s="87"/>
      <c r="AT175" s="87"/>
      <c r="AU175" s="87"/>
      <c r="AV175" s="87"/>
      <c r="AW175" s="87"/>
      <c r="AX175" s="87"/>
      <c r="AY175" s="87"/>
      <c r="AZ175" s="87"/>
      <c r="BA175" s="87"/>
      <c r="BB175" s="87"/>
      <c r="BC175" s="87"/>
      <c r="BD175" s="87"/>
      <c r="BE175" s="87"/>
      <c r="BF175" s="87"/>
      <c r="BG175" s="87"/>
      <c r="BH175" s="87"/>
    </row>
    <row r="176" spans="1:60" x14ac:dyDescent="0.25">
      <c r="A176" s="87"/>
      <c r="B176" s="87"/>
      <c r="C176" s="87"/>
      <c r="D176" s="87"/>
      <c r="E176" s="87"/>
      <c r="F176" s="87"/>
      <c r="G176" s="87"/>
      <c r="H176" s="87"/>
      <c r="I176" s="87"/>
      <c r="J176" s="87"/>
      <c r="K176" s="87"/>
      <c r="L176" s="87"/>
      <c r="M176" s="87"/>
      <c r="N176" s="87"/>
      <c r="O176" s="87"/>
      <c r="P176" s="87"/>
      <c r="Q176" s="87"/>
      <c r="R176" s="87"/>
      <c r="S176" s="87"/>
      <c r="T176" s="87"/>
      <c r="U176" s="87"/>
      <c r="V176" s="87"/>
      <c r="W176" s="87"/>
      <c r="X176" s="87"/>
      <c r="Y176" s="87"/>
      <c r="Z176" s="87"/>
      <c r="AA176" s="87"/>
      <c r="AB176" s="87"/>
      <c r="AC176" s="87"/>
      <c r="AD176" s="87"/>
      <c r="AE176" s="87"/>
      <c r="AF176" s="87"/>
      <c r="AG176" s="87"/>
      <c r="AH176" s="87"/>
      <c r="AI176" s="87"/>
      <c r="AJ176" s="87"/>
      <c r="AK176" s="87"/>
      <c r="AL176" s="87"/>
      <c r="AM176" s="87"/>
      <c r="AN176" s="87"/>
      <c r="AO176" s="87"/>
      <c r="AP176" s="87"/>
      <c r="AQ176" s="87"/>
      <c r="AR176" s="87"/>
      <c r="AS176" s="87"/>
      <c r="AT176" s="87"/>
      <c r="AU176" s="87"/>
      <c r="AV176" s="87"/>
      <c r="AW176" s="87"/>
      <c r="AX176" s="87"/>
      <c r="AY176" s="87"/>
      <c r="AZ176" s="87"/>
      <c r="BA176" s="87"/>
      <c r="BB176" s="87"/>
      <c r="BC176" s="87"/>
      <c r="BD176" s="87"/>
      <c r="BE176" s="87"/>
      <c r="BF176" s="87"/>
      <c r="BG176" s="87"/>
      <c r="BH176" s="87"/>
    </row>
    <row r="177" spans="1:60" x14ac:dyDescent="0.25">
      <c r="A177" s="87"/>
      <c r="B177" s="87"/>
      <c r="C177" s="87"/>
      <c r="D177" s="87"/>
      <c r="E177" s="87"/>
      <c r="F177" s="87"/>
      <c r="G177" s="87"/>
      <c r="H177" s="87"/>
      <c r="I177" s="87"/>
      <c r="J177" s="87"/>
      <c r="K177" s="87"/>
      <c r="L177" s="87"/>
      <c r="M177" s="87"/>
      <c r="N177" s="87"/>
      <c r="O177" s="87"/>
      <c r="P177" s="87"/>
      <c r="Q177" s="87"/>
      <c r="R177" s="87"/>
      <c r="S177" s="87"/>
      <c r="T177" s="87"/>
      <c r="U177" s="87"/>
      <c r="V177" s="87"/>
      <c r="W177" s="87"/>
      <c r="X177" s="87"/>
      <c r="Y177" s="87"/>
      <c r="Z177" s="87"/>
      <c r="AA177" s="87"/>
      <c r="AB177" s="87"/>
      <c r="AC177" s="87"/>
      <c r="AD177" s="87"/>
      <c r="AE177" s="87"/>
      <c r="AF177" s="87"/>
      <c r="AG177" s="87"/>
      <c r="AH177" s="87"/>
      <c r="AI177" s="87"/>
      <c r="AJ177" s="87"/>
      <c r="AK177" s="87"/>
      <c r="AL177" s="87"/>
      <c r="AM177" s="87"/>
      <c r="AN177" s="87"/>
      <c r="AO177" s="87"/>
      <c r="AP177" s="87"/>
      <c r="AQ177" s="87"/>
      <c r="AR177" s="87"/>
      <c r="AS177" s="87"/>
      <c r="AT177" s="87"/>
      <c r="AU177" s="87"/>
      <c r="AV177" s="87"/>
      <c r="AW177" s="87"/>
      <c r="AX177" s="87"/>
      <c r="AY177" s="87"/>
      <c r="AZ177" s="87"/>
      <c r="BA177" s="87"/>
      <c r="BB177" s="87"/>
      <c r="BC177" s="87"/>
      <c r="BD177" s="87"/>
      <c r="BE177" s="87"/>
      <c r="BF177" s="87"/>
      <c r="BG177" s="87"/>
      <c r="BH177" s="87"/>
    </row>
    <row r="178" spans="1:60" x14ac:dyDescent="0.25">
      <c r="A178" s="87"/>
      <c r="B178" s="87"/>
      <c r="C178" s="87"/>
      <c r="D178" s="87"/>
      <c r="E178" s="87"/>
      <c r="F178" s="87"/>
      <c r="G178" s="87"/>
      <c r="H178" s="87"/>
      <c r="I178" s="87"/>
      <c r="J178" s="87"/>
      <c r="K178" s="87"/>
      <c r="L178" s="87"/>
      <c r="M178" s="87"/>
      <c r="N178" s="87"/>
      <c r="O178" s="87"/>
      <c r="P178" s="87"/>
      <c r="Q178" s="87"/>
      <c r="R178" s="87"/>
      <c r="S178" s="87"/>
      <c r="T178" s="87"/>
      <c r="U178" s="87"/>
      <c r="V178" s="87"/>
      <c r="W178" s="87"/>
      <c r="X178" s="87"/>
      <c r="Y178" s="87"/>
      <c r="Z178" s="87"/>
      <c r="AA178" s="87"/>
      <c r="AB178" s="87"/>
      <c r="AC178" s="87"/>
      <c r="AD178" s="87"/>
      <c r="AE178" s="87"/>
      <c r="AF178" s="87"/>
      <c r="AG178" s="87"/>
      <c r="AH178" s="87"/>
      <c r="AI178" s="87"/>
      <c r="AJ178" s="87"/>
      <c r="AK178" s="87"/>
      <c r="AL178" s="87"/>
      <c r="AM178" s="87"/>
      <c r="AN178" s="87"/>
      <c r="AO178" s="87"/>
      <c r="AP178" s="87"/>
      <c r="AQ178" s="87"/>
      <c r="AR178" s="87"/>
      <c r="AS178" s="87"/>
      <c r="AT178" s="87"/>
      <c r="AU178" s="87"/>
      <c r="AV178" s="87"/>
      <c r="AW178" s="87"/>
      <c r="AX178" s="87"/>
      <c r="AY178" s="87"/>
      <c r="AZ178" s="87"/>
      <c r="BA178" s="87"/>
      <c r="BB178" s="87"/>
      <c r="BC178" s="87"/>
      <c r="BD178" s="87"/>
      <c r="BE178" s="87"/>
      <c r="BF178" s="87"/>
      <c r="BG178" s="87"/>
      <c r="BH178" s="87"/>
    </row>
    <row r="179" spans="1:60" x14ac:dyDescent="0.25">
      <c r="A179" s="87"/>
      <c r="B179" s="87"/>
      <c r="C179" s="87"/>
      <c r="D179" s="87"/>
      <c r="E179" s="87"/>
      <c r="F179" s="87"/>
      <c r="G179" s="87"/>
      <c r="H179" s="87"/>
      <c r="I179" s="87"/>
      <c r="J179" s="87"/>
      <c r="K179" s="87"/>
      <c r="L179" s="87"/>
      <c r="M179" s="87"/>
      <c r="N179" s="87"/>
      <c r="O179" s="87"/>
      <c r="P179" s="87"/>
      <c r="Q179" s="87"/>
      <c r="R179" s="87"/>
      <c r="S179" s="87"/>
      <c r="T179" s="87"/>
      <c r="U179" s="87"/>
      <c r="V179" s="87"/>
      <c r="W179" s="87"/>
      <c r="X179" s="87"/>
      <c r="Y179" s="87"/>
      <c r="Z179" s="87"/>
      <c r="AA179" s="87"/>
      <c r="AB179" s="87"/>
      <c r="AC179" s="87"/>
      <c r="AD179" s="87"/>
      <c r="AE179" s="87"/>
      <c r="AF179" s="87"/>
      <c r="AG179" s="87"/>
      <c r="AH179" s="87"/>
      <c r="AI179" s="87"/>
      <c r="AJ179" s="87"/>
      <c r="AK179" s="87"/>
      <c r="AL179" s="87"/>
      <c r="AM179" s="87"/>
      <c r="AN179" s="87"/>
      <c r="AO179" s="87"/>
      <c r="AP179" s="87"/>
      <c r="AQ179" s="87"/>
      <c r="AR179" s="87"/>
      <c r="AS179" s="87"/>
      <c r="AT179" s="87"/>
      <c r="AU179" s="87"/>
      <c r="AV179" s="87"/>
      <c r="AW179" s="87"/>
      <c r="AX179" s="87"/>
      <c r="AY179" s="87"/>
      <c r="AZ179" s="87"/>
      <c r="BA179" s="87"/>
      <c r="BB179" s="87"/>
      <c r="BC179" s="87"/>
      <c r="BD179" s="87"/>
      <c r="BE179" s="87"/>
      <c r="BF179" s="87"/>
      <c r="BG179" s="87"/>
      <c r="BH179" s="87"/>
    </row>
    <row r="180" spans="1:60" x14ac:dyDescent="0.25">
      <c r="A180" s="87"/>
      <c r="B180" s="87"/>
      <c r="C180" s="87"/>
      <c r="D180" s="87"/>
      <c r="E180" s="87"/>
      <c r="F180" s="87"/>
      <c r="G180" s="87"/>
      <c r="H180" s="87"/>
      <c r="I180" s="87"/>
      <c r="J180" s="87"/>
      <c r="K180" s="87"/>
      <c r="L180" s="87"/>
      <c r="M180" s="87"/>
      <c r="N180" s="87"/>
      <c r="O180" s="87"/>
      <c r="P180" s="87"/>
      <c r="Q180" s="87"/>
      <c r="R180" s="87"/>
      <c r="S180" s="87"/>
      <c r="T180" s="87"/>
      <c r="U180" s="87"/>
      <c r="V180" s="87"/>
      <c r="W180" s="87"/>
      <c r="X180" s="87"/>
      <c r="Y180" s="87"/>
      <c r="Z180" s="87"/>
      <c r="AA180" s="87"/>
      <c r="AB180" s="87"/>
      <c r="AC180" s="87"/>
      <c r="AD180" s="87"/>
      <c r="AE180" s="87"/>
      <c r="AF180" s="87"/>
      <c r="AG180" s="87"/>
      <c r="AH180" s="87"/>
      <c r="AI180" s="87"/>
      <c r="AJ180" s="87"/>
      <c r="AK180" s="87"/>
      <c r="AL180" s="87"/>
      <c r="AM180" s="87"/>
      <c r="AN180" s="87"/>
      <c r="AO180" s="87"/>
      <c r="AP180" s="87"/>
      <c r="AQ180" s="87"/>
      <c r="AR180" s="87"/>
      <c r="AS180" s="87"/>
      <c r="AT180" s="87"/>
      <c r="AU180" s="87"/>
      <c r="AV180" s="87"/>
      <c r="AW180" s="87"/>
      <c r="AX180" s="87"/>
      <c r="AY180" s="87"/>
      <c r="AZ180" s="87"/>
      <c r="BA180" s="87"/>
      <c r="BB180" s="87"/>
      <c r="BC180" s="87"/>
      <c r="BD180" s="87"/>
      <c r="BE180" s="87"/>
      <c r="BF180" s="87"/>
      <c r="BG180" s="87"/>
      <c r="BH180" s="87"/>
    </row>
    <row r="181" spans="1:60" x14ac:dyDescent="0.25">
      <c r="A181" s="87"/>
      <c r="B181" s="87"/>
      <c r="C181" s="87"/>
      <c r="D181" s="87"/>
      <c r="E181" s="87"/>
      <c r="F181" s="87"/>
      <c r="G181" s="87"/>
      <c r="H181" s="87"/>
      <c r="I181" s="87"/>
      <c r="J181" s="87"/>
      <c r="K181" s="87"/>
      <c r="L181" s="87"/>
      <c r="M181" s="87"/>
      <c r="N181" s="87"/>
      <c r="O181" s="87"/>
      <c r="P181" s="87"/>
      <c r="Q181" s="87"/>
      <c r="R181" s="87"/>
      <c r="S181" s="87"/>
      <c r="T181" s="87"/>
      <c r="U181" s="87"/>
      <c r="V181" s="87"/>
      <c r="W181" s="87"/>
      <c r="X181" s="87"/>
      <c r="Y181" s="87"/>
      <c r="Z181" s="87"/>
      <c r="AA181" s="87"/>
      <c r="AB181" s="87"/>
      <c r="AC181" s="87"/>
      <c r="AD181" s="87"/>
      <c r="AE181" s="87"/>
      <c r="AF181" s="87"/>
      <c r="AG181" s="87"/>
      <c r="AH181" s="87"/>
      <c r="AI181" s="87"/>
      <c r="AJ181" s="87"/>
      <c r="AK181" s="87"/>
      <c r="AL181" s="87"/>
      <c r="AM181" s="87"/>
      <c r="AN181" s="87"/>
      <c r="AO181" s="87"/>
      <c r="AP181" s="87"/>
      <c r="AQ181" s="87"/>
      <c r="AR181" s="87"/>
      <c r="AS181" s="87"/>
      <c r="AT181" s="87"/>
      <c r="AU181" s="87"/>
      <c r="AV181" s="87"/>
      <c r="AW181" s="87"/>
      <c r="AX181" s="87"/>
      <c r="AY181" s="87"/>
      <c r="AZ181" s="87"/>
      <c r="BA181" s="87"/>
      <c r="BB181" s="87"/>
      <c r="BC181" s="87"/>
      <c r="BD181" s="87"/>
      <c r="BE181" s="87"/>
      <c r="BF181" s="87"/>
      <c r="BG181" s="87"/>
      <c r="BH181" s="87"/>
    </row>
    <row r="182" spans="1:60" x14ac:dyDescent="0.25">
      <c r="A182" s="87"/>
      <c r="B182" s="87"/>
      <c r="C182" s="87"/>
      <c r="D182" s="87"/>
      <c r="E182" s="87"/>
      <c r="F182" s="87"/>
      <c r="G182" s="87"/>
      <c r="H182" s="87"/>
      <c r="I182" s="87"/>
      <c r="J182" s="87"/>
      <c r="K182" s="87"/>
      <c r="L182" s="87"/>
      <c r="M182" s="87"/>
      <c r="N182" s="87"/>
      <c r="O182" s="87"/>
      <c r="P182" s="87"/>
      <c r="Q182" s="87"/>
      <c r="R182" s="87"/>
      <c r="S182" s="87"/>
      <c r="T182" s="87"/>
      <c r="U182" s="87"/>
      <c r="V182" s="87"/>
      <c r="W182" s="87"/>
      <c r="X182" s="87"/>
      <c r="Y182" s="87"/>
      <c r="Z182" s="87"/>
      <c r="AA182" s="87"/>
      <c r="AB182" s="87"/>
      <c r="AC182" s="87"/>
      <c r="AD182" s="87"/>
      <c r="AE182" s="87"/>
      <c r="AF182" s="87"/>
      <c r="AG182" s="87"/>
      <c r="AH182" s="87"/>
      <c r="AI182" s="87"/>
      <c r="AJ182" s="87"/>
      <c r="AK182" s="87"/>
      <c r="AL182" s="87"/>
      <c r="AM182" s="87"/>
      <c r="AN182" s="87"/>
      <c r="AO182" s="87"/>
      <c r="AP182" s="87"/>
      <c r="AQ182" s="87"/>
      <c r="AR182" s="87"/>
      <c r="AS182" s="87"/>
      <c r="AT182" s="87"/>
      <c r="AU182" s="87"/>
      <c r="AV182" s="87"/>
      <c r="AW182" s="87"/>
      <c r="AX182" s="87"/>
      <c r="AY182" s="87"/>
      <c r="AZ182" s="87"/>
      <c r="BA182" s="87"/>
      <c r="BB182" s="87"/>
      <c r="BC182" s="87"/>
      <c r="BD182" s="87"/>
      <c r="BE182" s="87"/>
      <c r="BF182" s="87"/>
      <c r="BG182" s="87"/>
      <c r="BH182" s="87"/>
    </row>
    <row r="183" spans="1:60" x14ac:dyDescent="0.25">
      <c r="A183" s="87"/>
      <c r="B183" s="87"/>
      <c r="C183" s="87"/>
      <c r="D183" s="87"/>
      <c r="E183" s="87"/>
      <c r="F183" s="87"/>
      <c r="G183" s="87"/>
      <c r="H183" s="87"/>
      <c r="I183" s="87"/>
      <c r="J183" s="87"/>
      <c r="K183" s="87"/>
      <c r="L183" s="87"/>
      <c r="M183" s="87"/>
      <c r="N183" s="87"/>
      <c r="O183" s="87"/>
      <c r="P183" s="87"/>
      <c r="Q183" s="87"/>
      <c r="R183" s="87"/>
      <c r="S183" s="87"/>
      <c r="T183" s="87"/>
      <c r="U183" s="87"/>
      <c r="V183" s="87"/>
      <c r="W183" s="87"/>
      <c r="X183" s="87"/>
      <c r="Y183" s="87"/>
      <c r="Z183" s="87"/>
      <c r="AA183" s="87"/>
      <c r="AB183" s="87"/>
      <c r="AC183" s="87"/>
      <c r="AD183" s="87"/>
      <c r="AE183" s="87"/>
      <c r="AF183" s="87"/>
      <c r="AG183" s="87"/>
      <c r="AH183" s="87"/>
      <c r="AI183" s="87"/>
      <c r="AJ183" s="87"/>
      <c r="AK183" s="87"/>
      <c r="AL183" s="87"/>
      <c r="AM183" s="87"/>
      <c r="AN183" s="87"/>
      <c r="AO183" s="87"/>
      <c r="AP183" s="87"/>
      <c r="AQ183" s="87"/>
      <c r="AR183" s="87"/>
      <c r="AS183" s="87"/>
      <c r="AT183" s="87"/>
      <c r="AU183" s="87"/>
      <c r="AV183" s="87"/>
      <c r="AW183" s="87"/>
      <c r="AX183" s="87"/>
      <c r="AY183" s="87"/>
      <c r="AZ183" s="87"/>
      <c r="BA183" s="87"/>
      <c r="BB183" s="87"/>
      <c r="BC183" s="87"/>
      <c r="BD183" s="87"/>
      <c r="BE183" s="87"/>
      <c r="BF183" s="87"/>
      <c r="BG183" s="87"/>
      <c r="BH183" s="87"/>
    </row>
    <row r="184" spans="1:60" x14ac:dyDescent="0.25">
      <c r="A184" s="87"/>
      <c r="B184" s="87"/>
      <c r="C184" s="87"/>
      <c r="D184" s="87"/>
      <c r="E184" s="87"/>
      <c r="F184" s="87"/>
      <c r="G184" s="87"/>
      <c r="H184" s="87"/>
      <c r="I184" s="87"/>
      <c r="J184" s="87"/>
      <c r="K184" s="87"/>
      <c r="L184" s="87"/>
      <c r="M184" s="87"/>
      <c r="N184" s="87"/>
      <c r="O184" s="87"/>
      <c r="P184" s="87"/>
      <c r="Q184" s="87"/>
      <c r="R184" s="87"/>
      <c r="S184" s="87"/>
      <c r="T184" s="87"/>
      <c r="U184" s="87"/>
      <c r="V184" s="87"/>
      <c r="W184" s="87"/>
      <c r="X184" s="87"/>
      <c r="Y184" s="87"/>
      <c r="Z184" s="87"/>
      <c r="AA184" s="87"/>
      <c r="AB184" s="87"/>
      <c r="AC184" s="87"/>
      <c r="AD184" s="87"/>
      <c r="AE184" s="87"/>
      <c r="AF184" s="87"/>
      <c r="AG184" s="87"/>
      <c r="AH184" s="87"/>
      <c r="AI184" s="87"/>
      <c r="AJ184" s="87"/>
      <c r="AK184" s="87"/>
      <c r="AL184" s="87"/>
      <c r="AM184" s="87"/>
      <c r="AN184" s="87"/>
      <c r="AO184" s="87"/>
      <c r="AP184" s="87"/>
      <c r="AQ184" s="87"/>
      <c r="AR184" s="87"/>
      <c r="AS184" s="87"/>
      <c r="AT184" s="87"/>
      <c r="AU184" s="87"/>
      <c r="AV184" s="87"/>
      <c r="AW184" s="87"/>
      <c r="AX184" s="87"/>
      <c r="AY184" s="87"/>
      <c r="AZ184" s="87"/>
      <c r="BA184" s="87"/>
      <c r="BB184" s="87"/>
      <c r="BC184" s="87"/>
      <c r="BD184" s="87"/>
      <c r="BE184" s="87"/>
      <c r="BF184" s="87"/>
      <c r="BG184" s="87"/>
      <c r="BH184" s="87"/>
    </row>
    <row r="185" spans="1:60" x14ac:dyDescent="0.25">
      <c r="A185" s="87"/>
      <c r="B185" s="87"/>
      <c r="C185" s="87"/>
      <c r="D185" s="87"/>
      <c r="E185" s="87"/>
      <c r="F185" s="87"/>
      <c r="G185" s="87"/>
      <c r="H185" s="87"/>
      <c r="I185" s="87"/>
      <c r="J185" s="87"/>
      <c r="K185" s="87"/>
      <c r="L185" s="87"/>
      <c r="M185" s="87"/>
      <c r="N185" s="87"/>
      <c r="O185" s="87"/>
      <c r="P185" s="87"/>
      <c r="Q185" s="87"/>
      <c r="R185" s="87"/>
      <c r="S185" s="87"/>
      <c r="T185" s="87"/>
      <c r="U185" s="87"/>
      <c r="V185" s="87"/>
      <c r="W185" s="87"/>
      <c r="X185" s="87"/>
      <c r="Y185" s="87"/>
      <c r="Z185" s="87"/>
      <c r="AA185" s="87"/>
      <c r="AB185" s="87"/>
      <c r="AC185" s="87"/>
      <c r="AD185" s="87"/>
      <c r="AE185" s="87"/>
      <c r="AF185" s="87"/>
      <c r="AG185" s="87"/>
      <c r="AH185" s="87"/>
      <c r="AI185" s="87"/>
      <c r="AJ185" s="87"/>
      <c r="AK185" s="87"/>
      <c r="AL185" s="87"/>
      <c r="AM185" s="87"/>
      <c r="AN185" s="87"/>
      <c r="AO185" s="87"/>
      <c r="AP185" s="87"/>
      <c r="AQ185" s="87"/>
      <c r="AR185" s="87"/>
      <c r="AS185" s="87"/>
      <c r="AT185" s="87"/>
      <c r="AU185" s="87"/>
      <c r="AV185" s="87"/>
      <c r="AW185" s="87"/>
      <c r="AX185" s="87"/>
      <c r="AY185" s="87"/>
      <c r="AZ185" s="87"/>
      <c r="BA185" s="87"/>
      <c r="BB185" s="87"/>
      <c r="BC185" s="87"/>
      <c r="BD185" s="87"/>
      <c r="BE185" s="87"/>
      <c r="BF185" s="87"/>
      <c r="BG185" s="87"/>
      <c r="BH185" s="87"/>
    </row>
    <row r="186" spans="1:60" x14ac:dyDescent="0.25">
      <c r="A186" s="87"/>
      <c r="B186" s="87"/>
      <c r="C186" s="87"/>
      <c r="D186" s="87"/>
      <c r="E186" s="87"/>
      <c r="F186" s="87"/>
      <c r="G186" s="87"/>
      <c r="H186" s="87"/>
      <c r="I186" s="87"/>
      <c r="J186" s="87"/>
      <c r="K186" s="87"/>
      <c r="L186" s="87"/>
      <c r="M186" s="87"/>
      <c r="N186" s="87"/>
      <c r="O186" s="87"/>
      <c r="P186" s="87"/>
      <c r="Q186" s="87"/>
      <c r="R186" s="87"/>
      <c r="S186" s="87"/>
      <c r="T186" s="87"/>
      <c r="U186" s="87"/>
      <c r="V186" s="87"/>
      <c r="W186" s="87"/>
      <c r="X186" s="87"/>
      <c r="Y186" s="87"/>
      <c r="Z186" s="87"/>
      <c r="AA186" s="87"/>
      <c r="AB186" s="87"/>
      <c r="AC186" s="87"/>
      <c r="AD186" s="87"/>
      <c r="AE186" s="87"/>
      <c r="AF186" s="87"/>
      <c r="AG186" s="87"/>
      <c r="AH186" s="87"/>
      <c r="AI186" s="87"/>
      <c r="AJ186" s="87"/>
      <c r="AK186" s="87"/>
      <c r="AL186" s="87"/>
      <c r="AM186" s="87"/>
      <c r="AN186" s="87"/>
      <c r="AO186" s="87"/>
      <c r="AP186" s="87"/>
      <c r="AQ186" s="87"/>
      <c r="AR186" s="87"/>
      <c r="AS186" s="87"/>
      <c r="AT186" s="87"/>
      <c r="AU186" s="87"/>
      <c r="AV186" s="87"/>
      <c r="AW186" s="87"/>
      <c r="AX186" s="87"/>
      <c r="AY186" s="87"/>
      <c r="AZ186" s="87"/>
      <c r="BA186" s="87"/>
      <c r="BB186" s="87"/>
      <c r="BC186" s="87"/>
      <c r="BD186" s="87"/>
      <c r="BE186" s="87"/>
      <c r="BF186" s="87"/>
      <c r="BG186" s="87"/>
      <c r="BH186" s="87"/>
    </row>
    <row r="187" spans="1:60" x14ac:dyDescent="0.25">
      <c r="A187" s="87"/>
      <c r="B187" s="87"/>
      <c r="C187" s="87"/>
      <c r="D187" s="87"/>
      <c r="E187" s="87"/>
      <c r="F187" s="87"/>
      <c r="G187" s="87"/>
      <c r="H187" s="87"/>
      <c r="I187" s="87"/>
      <c r="J187" s="87"/>
      <c r="K187" s="87"/>
      <c r="L187" s="87"/>
      <c r="M187" s="87"/>
      <c r="N187" s="87"/>
      <c r="O187" s="87"/>
      <c r="P187" s="87"/>
      <c r="Q187" s="87"/>
      <c r="R187" s="87"/>
      <c r="S187" s="87"/>
      <c r="T187" s="87"/>
      <c r="U187" s="87"/>
      <c r="V187" s="87"/>
      <c r="W187" s="87"/>
      <c r="X187" s="87"/>
      <c r="Y187" s="87"/>
      <c r="Z187" s="87"/>
      <c r="AA187" s="87"/>
      <c r="AB187" s="87"/>
      <c r="AC187" s="87"/>
      <c r="AD187" s="87"/>
      <c r="AE187" s="87"/>
      <c r="AF187" s="87"/>
      <c r="AG187" s="87"/>
      <c r="AH187" s="87"/>
      <c r="AI187" s="87"/>
      <c r="AJ187" s="87"/>
      <c r="AK187" s="87"/>
      <c r="AL187" s="87"/>
      <c r="AM187" s="87"/>
      <c r="AN187" s="87"/>
      <c r="AO187" s="87"/>
      <c r="AP187" s="87"/>
      <c r="AQ187" s="87"/>
      <c r="AR187" s="87"/>
      <c r="AS187" s="87"/>
      <c r="AT187" s="87"/>
      <c r="AU187" s="87"/>
      <c r="AV187" s="87"/>
      <c r="AW187" s="87"/>
      <c r="AX187" s="87"/>
      <c r="AY187" s="87"/>
      <c r="AZ187" s="87"/>
      <c r="BA187" s="87"/>
      <c r="BB187" s="87"/>
      <c r="BC187" s="87"/>
      <c r="BD187" s="87"/>
      <c r="BE187" s="87"/>
      <c r="BF187" s="87"/>
      <c r="BG187" s="87"/>
      <c r="BH187" s="87"/>
    </row>
    <row r="188" spans="1:60" x14ac:dyDescent="0.25">
      <c r="A188" s="87"/>
      <c r="B188" s="87"/>
      <c r="C188" s="87"/>
      <c r="D188" s="87"/>
      <c r="E188" s="87"/>
      <c r="F188" s="87"/>
      <c r="G188" s="87"/>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c r="AE188" s="87"/>
      <c r="AF188" s="87"/>
      <c r="AG188" s="87"/>
      <c r="AH188" s="87"/>
      <c r="AI188" s="87"/>
      <c r="AJ188" s="87"/>
      <c r="AK188" s="87"/>
      <c r="AL188" s="87"/>
      <c r="AM188" s="87"/>
      <c r="AN188" s="87"/>
      <c r="AO188" s="87"/>
      <c r="AP188" s="87"/>
      <c r="AQ188" s="87"/>
      <c r="AR188" s="87"/>
      <c r="AS188" s="87"/>
      <c r="AT188" s="87"/>
      <c r="AU188" s="87"/>
      <c r="AV188" s="87"/>
      <c r="AW188" s="87"/>
      <c r="AX188" s="87"/>
      <c r="AY188" s="87"/>
      <c r="AZ188" s="87"/>
      <c r="BA188" s="87"/>
      <c r="BB188" s="87"/>
      <c r="BC188" s="87"/>
      <c r="BD188" s="87"/>
      <c r="BE188" s="87"/>
      <c r="BF188" s="87"/>
      <c r="BG188" s="87"/>
      <c r="BH188" s="87"/>
    </row>
    <row r="189" spans="1:60" x14ac:dyDescent="0.25">
      <c r="A189" s="87"/>
      <c r="B189" s="87"/>
      <c r="C189" s="87"/>
      <c r="D189" s="87"/>
      <c r="E189" s="87"/>
      <c r="F189" s="87"/>
      <c r="G189" s="87"/>
      <c r="H189" s="87"/>
      <c r="I189" s="87"/>
      <c r="J189" s="87"/>
      <c r="K189" s="87"/>
      <c r="L189" s="87"/>
      <c r="M189" s="87"/>
      <c r="N189" s="87"/>
      <c r="O189" s="87"/>
      <c r="P189" s="87"/>
      <c r="Q189" s="87"/>
      <c r="R189" s="87"/>
      <c r="S189" s="87"/>
      <c r="T189" s="87"/>
      <c r="U189" s="87"/>
      <c r="V189" s="87"/>
      <c r="W189" s="87"/>
      <c r="X189" s="87"/>
      <c r="Y189" s="87"/>
      <c r="Z189" s="87"/>
      <c r="AA189" s="87"/>
      <c r="AB189" s="87"/>
      <c r="AC189" s="87"/>
      <c r="AD189" s="87"/>
      <c r="AE189" s="87"/>
      <c r="AF189" s="87"/>
      <c r="AG189" s="87"/>
      <c r="AH189" s="87"/>
      <c r="AI189" s="87"/>
      <c r="AJ189" s="87"/>
      <c r="AK189" s="87"/>
      <c r="AL189" s="87"/>
      <c r="AM189" s="87"/>
      <c r="AN189" s="87"/>
      <c r="AO189" s="87"/>
      <c r="AP189" s="87"/>
      <c r="AQ189" s="87"/>
      <c r="AR189" s="87"/>
      <c r="AS189" s="87"/>
      <c r="AT189" s="87"/>
      <c r="AU189" s="87"/>
      <c r="AV189" s="87"/>
      <c r="AW189" s="87"/>
      <c r="AX189" s="87"/>
      <c r="AY189" s="87"/>
      <c r="AZ189" s="87"/>
      <c r="BA189" s="87"/>
      <c r="BB189" s="87"/>
      <c r="BC189" s="87"/>
      <c r="BD189" s="87"/>
      <c r="BE189" s="87"/>
      <c r="BF189" s="87"/>
      <c r="BG189" s="87"/>
      <c r="BH189" s="87"/>
    </row>
    <row r="190" spans="1:60" x14ac:dyDescent="0.25">
      <c r="A190" s="87"/>
      <c r="B190" s="87"/>
      <c r="C190" s="87"/>
      <c r="D190" s="87"/>
      <c r="E190" s="87"/>
      <c r="F190" s="87"/>
      <c r="G190" s="87"/>
      <c r="H190" s="87"/>
      <c r="I190" s="87"/>
      <c r="J190" s="87"/>
      <c r="K190" s="87"/>
      <c r="L190" s="87"/>
      <c r="M190" s="87"/>
      <c r="N190" s="87"/>
      <c r="O190" s="87"/>
      <c r="P190" s="87"/>
      <c r="Q190" s="87"/>
      <c r="R190" s="87"/>
      <c r="S190" s="87"/>
      <c r="T190" s="87"/>
      <c r="U190" s="87"/>
      <c r="V190" s="87"/>
      <c r="W190" s="87"/>
      <c r="X190" s="87"/>
      <c r="Y190" s="87"/>
      <c r="Z190" s="87"/>
      <c r="AA190" s="87"/>
      <c r="AB190" s="87"/>
      <c r="AC190" s="87"/>
      <c r="AD190" s="87"/>
      <c r="AE190" s="87"/>
      <c r="AF190" s="87"/>
      <c r="AG190" s="87"/>
      <c r="AH190" s="87"/>
      <c r="AI190" s="87"/>
      <c r="AJ190" s="87"/>
      <c r="AK190" s="87"/>
      <c r="AL190" s="87"/>
      <c r="AM190" s="87"/>
      <c r="AN190" s="87"/>
      <c r="AO190" s="87"/>
      <c r="AP190" s="87"/>
      <c r="AQ190" s="87"/>
      <c r="AR190" s="87"/>
      <c r="AS190" s="87"/>
      <c r="AT190" s="87"/>
      <c r="AU190" s="87"/>
      <c r="AV190" s="87"/>
      <c r="AW190" s="87"/>
      <c r="AX190" s="87"/>
      <c r="AY190" s="87"/>
      <c r="AZ190" s="87"/>
      <c r="BA190" s="87"/>
      <c r="BB190" s="87"/>
      <c r="BC190" s="87"/>
      <c r="BD190" s="87"/>
      <c r="BE190" s="87"/>
      <c r="BF190" s="87"/>
      <c r="BG190" s="87"/>
      <c r="BH190" s="87"/>
    </row>
    <row r="191" spans="1:60" x14ac:dyDescent="0.25">
      <c r="A191" s="87"/>
      <c r="J191" s="87"/>
      <c r="K191" s="87"/>
      <c r="L191" s="87"/>
      <c r="M191" s="87"/>
      <c r="N191" s="87"/>
      <c r="O191" s="87"/>
      <c r="P191" s="87"/>
      <c r="Q191" s="87"/>
      <c r="R191" s="87"/>
      <c r="S191" s="87"/>
      <c r="T191" s="87"/>
      <c r="U191" s="87"/>
      <c r="V191" s="87"/>
      <c r="W191" s="87"/>
      <c r="X191" s="87"/>
      <c r="Y191" s="87"/>
      <c r="Z191" s="87"/>
      <c r="AA191" s="87"/>
      <c r="AB191" s="87"/>
      <c r="AC191" s="87"/>
      <c r="AD191" s="87"/>
      <c r="AE191" s="87"/>
      <c r="AF191" s="87"/>
      <c r="AG191" s="87"/>
      <c r="AH191" s="87"/>
      <c r="AI191" s="87"/>
      <c r="AJ191" s="87"/>
      <c r="AK191" s="87"/>
      <c r="AL191" s="87"/>
      <c r="AM191" s="87"/>
      <c r="AN191" s="87"/>
      <c r="AO191" s="87"/>
      <c r="AP191" s="87"/>
      <c r="AQ191" s="87"/>
      <c r="AR191" s="87"/>
      <c r="AS191" s="87"/>
      <c r="AT191" s="87"/>
      <c r="AU191" s="87"/>
      <c r="AV191" s="87"/>
      <c r="AW191" s="87"/>
      <c r="AX191" s="87"/>
      <c r="AY191" s="87"/>
      <c r="AZ191" s="87"/>
      <c r="BA191" s="87"/>
      <c r="BB191" s="87"/>
      <c r="BC191" s="87"/>
      <c r="BD191" s="87"/>
      <c r="BE191" s="87"/>
      <c r="BF191" s="87"/>
      <c r="BG191" s="87"/>
      <c r="BH191" s="87"/>
    </row>
    <row r="192" spans="1:60" x14ac:dyDescent="0.25">
      <c r="A192" s="87"/>
      <c r="J192" s="87"/>
      <c r="K192" s="87"/>
      <c r="L192" s="87"/>
      <c r="M192" s="87"/>
      <c r="N192" s="87"/>
      <c r="O192" s="87"/>
      <c r="P192" s="87"/>
      <c r="Q192" s="87"/>
      <c r="R192" s="87"/>
      <c r="S192" s="87"/>
      <c r="T192" s="87"/>
      <c r="U192" s="87"/>
      <c r="V192" s="87"/>
      <c r="W192" s="87"/>
      <c r="X192" s="87"/>
      <c r="Y192" s="87"/>
      <c r="Z192" s="87"/>
      <c r="AA192" s="87"/>
      <c r="AB192" s="87"/>
      <c r="AC192" s="87"/>
      <c r="AD192" s="87"/>
      <c r="AE192" s="87"/>
      <c r="AF192" s="87"/>
      <c r="AG192" s="87"/>
      <c r="AH192" s="87"/>
      <c r="AI192" s="87"/>
      <c r="AJ192" s="87"/>
      <c r="AK192" s="87"/>
      <c r="AL192" s="87"/>
      <c r="AM192" s="87"/>
      <c r="AN192" s="87"/>
      <c r="AO192" s="87"/>
      <c r="AP192" s="87"/>
      <c r="AQ192" s="87"/>
      <c r="AR192" s="87"/>
      <c r="AS192" s="87"/>
      <c r="AT192" s="87"/>
      <c r="AU192" s="87"/>
      <c r="AV192" s="87"/>
      <c r="AW192" s="87"/>
      <c r="AX192" s="87"/>
      <c r="AY192" s="87"/>
      <c r="AZ192" s="87"/>
      <c r="BA192" s="87"/>
      <c r="BB192" s="87"/>
      <c r="BC192" s="87"/>
      <c r="BD192" s="87"/>
      <c r="BE192" s="87"/>
      <c r="BF192" s="87"/>
      <c r="BG192" s="87"/>
      <c r="BH192" s="87"/>
    </row>
    <row r="193" spans="1:60" x14ac:dyDescent="0.25">
      <c r="A193" s="87"/>
      <c r="J193" s="87"/>
      <c r="K193" s="87"/>
      <c r="L193" s="87"/>
      <c r="M193" s="87"/>
      <c r="N193" s="87"/>
      <c r="O193" s="87"/>
      <c r="P193" s="87"/>
      <c r="Q193" s="87"/>
      <c r="R193" s="87"/>
      <c r="S193" s="87"/>
      <c r="T193" s="87"/>
      <c r="U193" s="87"/>
      <c r="V193" s="87"/>
      <c r="W193" s="87"/>
      <c r="X193" s="87"/>
      <c r="Y193" s="87"/>
      <c r="Z193" s="87"/>
      <c r="AA193" s="87"/>
      <c r="AB193" s="87"/>
      <c r="AC193" s="87"/>
      <c r="AD193" s="87"/>
      <c r="AE193" s="87"/>
      <c r="AF193" s="87"/>
      <c r="AG193" s="87"/>
      <c r="AH193" s="87"/>
      <c r="AI193" s="87"/>
      <c r="AJ193" s="87"/>
      <c r="AK193" s="87"/>
      <c r="AL193" s="87"/>
      <c r="AM193" s="87"/>
      <c r="AN193" s="87"/>
      <c r="AO193" s="87"/>
      <c r="AP193" s="87"/>
      <c r="AQ193" s="87"/>
      <c r="AR193" s="87"/>
      <c r="AS193" s="87"/>
      <c r="AT193" s="87"/>
      <c r="AU193" s="87"/>
      <c r="AV193" s="87"/>
      <c r="AW193" s="87"/>
      <c r="AX193" s="87"/>
      <c r="AY193" s="87"/>
      <c r="AZ193" s="87"/>
      <c r="BA193" s="87"/>
      <c r="BB193" s="87"/>
      <c r="BC193" s="87"/>
      <c r="BD193" s="87"/>
      <c r="BE193" s="87"/>
      <c r="BF193" s="87"/>
      <c r="BG193" s="87"/>
      <c r="BH193" s="87"/>
    </row>
    <row r="194" spans="1:60" x14ac:dyDescent="0.25">
      <c r="A194" s="87"/>
      <c r="J194" s="87"/>
      <c r="K194" s="87"/>
      <c r="L194" s="87"/>
      <c r="M194" s="87"/>
      <c r="N194" s="87"/>
      <c r="O194" s="87"/>
      <c r="P194" s="87"/>
      <c r="Q194" s="87"/>
      <c r="R194" s="87"/>
      <c r="S194" s="87"/>
      <c r="T194" s="87"/>
      <c r="U194" s="87"/>
      <c r="V194" s="87"/>
      <c r="W194" s="87"/>
      <c r="X194" s="87"/>
      <c r="Y194" s="87"/>
      <c r="Z194" s="87"/>
      <c r="AA194" s="87"/>
      <c r="AB194" s="87"/>
      <c r="AC194" s="87"/>
      <c r="AD194" s="87"/>
      <c r="AE194" s="87"/>
      <c r="AF194" s="87"/>
      <c r="AG194" s="87"/>
      <c r="AH194" s="87"/>
      <c r="AI194" s="87"/>
      <c r="AJ194" s="87"/>
      <c r="AK194" s="87"/>
      <c r="AL194" s="87"/>
      <c r="AM194" s="87"/>
      <c r="AN194" s="87"/>
      <c r="AO194" s="87"/>
      <c r="AP194" s="87"/>
      <c r="AQ194" s="87"/>
      <c r="AR194" s="87"/>
      <c r="AS194" s="87"/>
      <c r="AT194" s="87"/>
      <c r="AU194" s="87"/>
      <c r="AV194" s="87"/>
      <c r="AW194" s="87"/>
      <c r="AX194" s="87"/>
      <c r="AY194" s="87"/>
      <c r="AZ194" s="87"/>
      <c r="BA194" s="87"/>
      <c r="BB194" s="87"/>
      <c r="BC194" s="87"/>
      <c r="BD194" s="87"/>
      <c r="BE194" s="87"/>
      <c r="BF194" s="87"/>
      <c r="BG194" s="87"/>
      <c r="BH194" s="87"/>
    </row>
    <row r="195" spans="1:60" x14ac:dyDescent="0.25">
      <c r="A195" s="87"/>
      <c r="J195" s="87"/>
      <c r="K195" s="87"/>
      <c r="L195" s="87"/>
      <c r="M195" s="87"/>
      <c r="N195" s="87"/>
      <c r="O195" s="87"/>
      <c r="P195" s="87"/>
      <c r="Q195" s="87"/>
      <c r="R195" s="87"/>
      <c r="S195" s="87"/>
      <c r="T195" s="87"/>
      <c r="U195" s="87"/>
      <c r="V195" s="87"/>
      <c r="W195" s="87"/>
      <c r="X195" s="87"/>
      <c r="Y195" s="87"/>
      <c r="Z195" s="87"/>
      <c r="AA195" s="87"/>
      <c r="AB195" s="87"/>
      <c r="AC195" s="87"/>
      <c r="AD195" s="87"/>
      <c r="AE195" s="87"/>
      <c r="AF195" s="87"/>
      <c r="AG195" s="87"/>
      <c r="AH195" s="87"/>
      <c r="AI195" s="87"/>
      <c r="AJ195" s="87"/>
      <c r="AK195" s="87"/>
      <c r="AL195" s="87"/>
      <c r="AM195" s="87"/>
      <c r="AN195" s="87"/>
      <c r="AO195" s="87"/>
      <c r="AP195" s="87"/>
      <c r="AQ195" s="87"/>
      <c r="AR195" s="87"/>
      <c r="AS195" s="87"/>
      <c r="AT195" s="87"/>
      <c r="AU195" s="87"/>
      <c r="AV195" s="87"/>
      <c r="AW195" s="87"/>
      <c r="AX195" s="87"/>
      <c r="AY195" s="87"/>
      <c r="AZ195" s="87"/>
      <c r="BA195" s="87"/>
      <c r="BB195" s="87"/>
      <c r="BC195" s="87"/>
      <c r="BD195" s="87"/>
      <c r="BE195" s="87"/>
      <c r="BF195" s="87"/>
      <c r="BG195" s="87"/>
      <c r="BH195" s="87"/>
    </row>
    <row r="196" spans="1:60" x14ac:dyDescent="0.25">
      <c r="A196" s="87"/>
      <c r="J196" s="87"/>
      <c r="K196" s="87"/>
      <c r="L196" s="87"/>
      <c r="M196" s="87"/>
      <c r="N196" s="87"/>
      <c r="O196" s="87"/>
      <c r="P196" s="87"/>
      <c r="Q196" s="87"/>
      <c r="R196" s="87"/>
      <c r="S196" s="87"/>
      <c r="T196" s="87"/>
      <c r="U196" s="87"/>
      <c r="V196" s="87"/>
      <c r="W196" s="87"/>
      <c r="X196" s="87"/>
      <c r="Y196" s="87"/>
      <c r="Z196" s="87"/>
      <c r="AA196" s="87"/>
      <c r="AB196" s="87"/>
      <c r="AC196" s="87"/>
      <c r="AD196" s="87"/>
      <c r="AE196" s="87"/>
      <c r="AF196" s="87"/>
      <c r="AG196" s="87"/>
      <c r="AH196" s="87"/>
      <c r="AI196" s="87"/>
      <c r="AJ196" s="87"/>
      <c r="AK196" s="87"/>
      <c r="AL196" s="87"/>
      <c r="AM196" s="87"/>
      <c r="AN196" s="87"/>
      <c r="AO196" s="87"/>
      <c r="AP196" s="87"/>
      <c r="AQ196" s="87"/>
      <c r="AR196" s="87"/>
      <c r="AS196" s="87"/>
      <c r="AT196" s="87"/>
      <c r="AU196" s="87"/>
      <c r="AV196" s="87"/>
      <c r="AW196" s="87"/>
      <c r="AX196" s="87"/>
      <c r="AY196" s="87"/>
      <c r="AZ196" s="87"/>
      <c r="BA196" s="87"/>
      <c r="BB196" s="87"/>
      <c r="BC196" s="87"/>
      <c r="BD196" s="87"/>
      <c r="BE196" s="87"/>
      <c r="BF196" s="87"/>
      <c r="BG196" s="87"/>
      <c r="BH196" s="87"/>
    </row>
    <row r="197" spans="1:60" x14ac:dyDescent="0.25">
      <c r="A197" s="87"/>
      <c r="J197" s="87"/>
      <c r="K197" s="87"/>
      <c r="L197" s="87"/>
      <c r="M197" s="87"/>
      <c r="N197" s="87"/>
      <c r="O197" s="87"/>
      <c r="P197" s="87"/>
      <c r="Q197" s="87"/>
      <c r="R197" s="87"/>
      <c r="S197" s="87"/>
      <c r="T197" s="87"/>
      <c r="U197" s="87"/>
      <c r="V197" s="87"/>
      <c r="W197" s="87"/>
      <c r="X197" s="87"/>
      <c r="Y197" s="87"/>
      <c r="Z197" s="87"/>
      <c r="AA197" s="87"/>
      <c r="AB197" s="87"/>
      <c r="AC197" s="87"/>
      <c r="AD197" s="87"/>
      <c r="AE197" s="87"/>
      <c r="AF197" s="87"/>
      <c r="AG197" s="87"/>
      <c r="AH197" s="87"/>
      <c r="AI197" s="87"/>
      <c r="AJ197" s="87"/>
      <c r="AK197" s="87"/>
      <c r="AL197" s="87"/>
      <c r="AM197" s="87"/>
      <c r="AN197" s="87"/>
      <c r="AO197" s="87"/>
      <c r="AP197" s="87"/>
      <c r="AQ197" s="87"/>
      <c r="AR197" s="87"/>
      <c r="AS197" s="87"/>
      <c r="AT197" s="87"/>
      <c r="AU197" s="87"/>
      <c r="AV197" s="87"/>
      <c r="AW197" s="87"/>
      <c r="AX197" s="87"/>
      <c r="AY197" s="87"/>
      <c r="AZ197" s="87"/>
      <c r="BA197" s="87"/>
      <c r="BB197" s="87"/>
      <c r="BC197" s="87"/>
      <c r="BD197" s="87"/>
      <c r="BE197" s="87"/>
      <c r="BF197" s="87"/>
      <c r="BG197" s="87"/>
      <c r="BH197" s="87"/>
    </row>
    <row r="198" spans="1:60" x14ac:dyDescent="0.25">
      <c r="A198" s="87"/>
      <c r="J198" s="87"/>
      <c r="K198" s="87"/>
      <c r="L198" s="87"/>
      <c r="M198" s="87"/>
      <c r="N198" s="87"/>
      <c r="O198" s="87"/>
      <c r="P198" s="87"/>
      <c r="Q198" s="87"/>
      <c r="R198" s="87"/>
      <c r="S198" s="87"/>
      <c r="T198" s="87"/>
      <c r="U198" s="87"/>
      <c r="V198" s="87"/>
      <c r="W198" s="87"/>
      <c r="X198" s="87"/>
      <c r="Y198" s="87"/>
      <c r="Z198" s="87"/>
      <c r="AA198" s="87"/>
      <c r="AB198" s="87"/>
      <c r="AC198" s="87"/>
      <c r="AD198" s="87"/>
      <c r="AE198" s="87"/>
      <c r="AF198" s="87"/>
      <c r="AG198" s="87"/>
      <c r="AH198" s="87"/>
      <c r="AI198" s="87"/>
      <c r="AJ198" s="87"/>
      <c r="AK198" s="87"/>
      <c r="AL198" s="87"/>
      <c r="AM198" s="87"/>
      <c r="AN198" s="87"/>
      <c r="AO198" s="87"/>
      <c r="AP198" s="87"/>
      <c r="AQ198" s="87"/>
      <c r="AR198" s="87"/>
      <c r="AS198" s="87"/>
      <c r="AT198" s="87"/>
      <c r="AU198" s="87"/>
      <c r="AV198" s="87"/>
      <c r="AW198" s="87"/>
      <c r="AX198" s="87"/>
      <c r="AY198" s="87"/>
      <c r="AZ198" s="87"/>
      <c r="BA198" s="87"/>
      <c r="BB198" s="87"/>
      <c r="BC198" s="87"/>
      <c r="BD198" s="87"/>
      <c r="BE198" s="87"/>
      <c r="BF198" s="87"/>
      <c r="BG198" s="87"/>
      <c r="BH198" s="87"/>
    </row>
    <row r="199" spans="1:60" x14ac:dyDescent="0.25">
      <c r="A199" s="87"/>
      <c r="J199" s="87"/>
      <c r="K199" s="87"/>
      <c r="L199" s="87"/>
      <c r="M199" s="87"/>
      <c r="N199" s="87"/>
      <c r="O199" s="87"/>
      <c r="P199" s="87"/>
      <c r="Q199" s="87"/>
      <c r="R199" s="87"/>
      <c r="S199" s="87"/>
      <c r="T199" s="87"/>
      <c r="U199" s="87"/>
      <c r="V199" s="87"/>
      <c r="W199" s="87"/>
      <c r="X199" s="87"/>
      <c r="Y199" s="87"/>
      <c r="Z199" s="87"/>
      <c r="AA199" s="87"/>
      <c r="AB199" s="87"/>
      <c r="AC199" s="87"/>
      <c r="AD199" s="87"/>
      <c r="AE199" s="87"/>
      <c r="AF199" s="87"/>
      <c r="AG199" s="87"/>
      <c r="AH199" s="87"/>
      <c r="AI199" s="87"/>
      <c r="AJ199" s="87"/>
      <c r="AK199" s="87"/>
      <c r="AL199" s="87"/>
      <c r="AM199" s="87"/>
      <c r="AN199" s="87"/>
      <c r="AO199" s="87"/>
      <c r="AP199" s="87"/>
      <c r="AQ199" s="87"/>
      <c r="AR199" s="87"/>
      <c r="AS199" s="87"/>
      <c r="AT199" s="87"/>
      <c r="AU199" s="87"/>
      <c r="AV199" s="87"/>
      <c r="AW199" s="87"/>
      <c r="AX199" s="87"/>
      <c r="AY199" s="87"/>
      <c r="AZ199" s="87"/>
      <c r="BA199" s="87"/>
      <c r="BB199" s="87"/>
      <c r="BC199" s="87"/>
      <c r="BD199" s="87"/>
      <c r="BE199" s="87"/>
      <c r="BF199" s="87"/>
      <c r="BG199" s="87"/>
      <c r="BH199" s="87"/>
    </row>
    <row r="200" spans="1:60" x14ac:dyDescent="0.25">
      <c r="A200" s="87"/>
      <c r="J200" s="87"/>
      <c r="K200" s="87"/>
      <c r="L200" s="87"/>
      <c r="M200" s="87"/>
      <c r="N200" s="87"/>
      <c r="O200" s="87"/>
      <c r="P200" s="87"/>
      <c r="Q200" s="87"/>
      <c r="R200" s="87"/>
      <c r="S200" s="87"/>
      <c r="T200" s="87"/>
      <c r="U200" s="87"/>
      <c r="V200" s="87"/>
      <c r="W200" s="87"/>
      <c r="X200" s="87"/>
      <c r="Y200" s="87"/>
      <c r="Z200" s="87"/>
      <c r="AA200" s="87"/>
      <c r="AB200" s="87"/>
      <c r="AC200" s="87"/>
      <c r="AD200" s="87"/>
      <c r="AE200" s="87"/>
      <c r="AF200" s="87"/>
      <c r="AG200" s="87"/>
      <c r="AH200" s="87"/>
      <c r="AI200" s="87"/>
      <c r="AJ200" s="87"/>
      <c r="AK200" s="87"/>
      <c r="AL200" s="87"/>
      <c r="AM200" s="87"/>
      <c r="AN200" s="87"/>
      <c r="AO200" s="87"/>
      <c r="AP200" s="87"/>
      <c r="AQ200" s="87"/>
      <c r="AR200" s="87"/>
      <c r="AS200" s="87"/>
      <c r="AT200" s="87"/>
      <c r="AU200" s="87"/>
      <c r="AV200" s="87"/>
      <c r="AW200" s="87"/>
      <c r="AX200" s="87"/>
      <c r="AY200" s="87"/>
      <c r="AZ200" s="87"/>
      <c r="BA200" s="87"/>
      <c r="BB200" s="87"/>
      <c r="BC200" s="87"/>
      <c r="BD200" s="87"/>
      <c r="BE200" s="87"/>
      <c r="BF200" s="87"/>
      <c r="BG200" s="87"/>
      <c r="BH200" s="87"/>
    </row>
    <row r="201" spans="1:60" x14ac:dyDescent="0.25">
      <c r="A201" s="87"/>
      <c r="J201" s="87"/>
      <c r="K201" s="87"/>
      <c r="L201" s="87"/>
      <c r="M201" s="87"/>
      <c r="N201" s="87"/>
      <c r="O201" s="87"/>
      <c r="P201" s="87"/>
      <c r="Q201" s="87"/>
      <c r="R201" s="87"/>
      <c r="S201" s="87"/>
      <c r="T201" s="87"/>
      <c r="U201" s="87"/>
      <c r="V201" s="87"/>
      <c r="W201" s="87"/>
      <c r="X201" s="87"/>
      <c r="Y201" s="87"/>
      <c r="Z201" s="87"/>
      <c r="AA201" s="87"/>
      <c r="AB201" s="87"/>
      <c r="AC201" s="87"/>
      <c r="AD201" s="87"/>
      <c r="AE201" s="87"/>
      <c r="AF201" s="87"/>
      <c r="AG201" s="87"/>
      <c r="AH201" s="87"/>
      <c r="AI201" s="87"/>
      <c r="AJ201" s="87"/>
      <c r="AK201" s="87"/>
      <c r="AL201" s="87"/>
      <c r="AM201" s="87"/>
      <c r="AN201" s="87"/>
      <c r="AO201" s="87"/>
      <c r="AP201" s="87"/>
      <c r="AQ201" s="87"/>
      <c r="AR201" s="87"/>
      <c r="AS201" s="87"/>
      <c r="AT201" s="87"/>
      <c r="AU201" s="87"/>
      <c r="AV201" s="87"/>
      <c r="AW201" s="87"/>
      <c r="AX201" s="87"/>
      <c r="AY201" s="87"/>
      <c r="AZ201" s="87"/>
      <c r="BA201" s="87"/>
      <c r="BB201" s="87"/>
      <c r="BC201" s="87"/>
      <c r="BD201" s="87"/>
      <c r="BE201" s="87"/>
      <c r="BF201" s="87"/>
      <c r="BG201" s="87"/>
      <c r="BH201" s="87"/>
    </row>
    <row r="202" spans="1:60" x14ac:dyDescent="0.25">
      <c r="A202" s="87"/>
      <c r="J202" s="87"/>
      <c r="K202" s="87"/>
      <c r="L202" s="87"/>
      <c r="M202" s="87"/>
      <c r="N202" s="87"/>
      <c r="O202" s="87"/>
      <c r="P202" s="87"/>
      <c r="Q202" s="87"/>
      <c r="R202" s="87"/>
      <c r="S202" s="87"/>
      <c r="T202" s="87"/>
      <c r="U202" s="87"/>
      <c r="V202" s="87"/>
      <c r="W202" s="87"/>
      <c r="X202" s="87"/>
      <c r="Y202" s="87"/>
      <c r="Z202" s="87"/>
      <c r="AA202" s="87"/>
      <c r="AB202" s="87"/>
      <c r="AC202" s="87"/>
      <c r="AD202" s="87"/>
      <c r="AE202" s="87"/>
      <c r="AF202" s="87"/>
      <c r="AG202" s="87"/>
      <c r="AH202" s="87"/>
      <c r="AI202" s="87"/>
      <c r="AJ202" s="87"/>
      <c r="AK202" s="87"/>
      <c r="AL202" s="87"/>
      <c r="AM202" s="87"/>
      <c r="AN202" s="87"/>
      <c r="AO202" s="87"/>
      <c r="AP202" s="87"/>
      <c r="AQ202" s="87"/>
      <c r="AR202" s="87"/>
      <c r="AS202" s="87"/>
      <c r="AT202" s="87"/>
      <c r="AU202" s="87"/>
      <c r="AV202" s="87"/>
      <c r="AW202" s="87"/>
      <c r="AX202" s="87"/>
      <c r="AY202" s="87"/>
      <c r="AZ202" s="87"/>
      <c r="BA202" s="87"/>
      <c r="BB202" s="87"/>
      <c r="BC202" s="87"/>
      <c r="BD202" s="87"/>
      <c r="BE202" s="87"/>
      <c r="BF202" s="87"/>
      <c r="BG202" s="87"/>
      <c r="BH202" s="87"/>
    </row>
    <row r="203" spans="1:60" x14ac:dyDescent="0.25">
      <c r="A203" s="87"/>
      <c r="J203" s="87"/>
      <c r="K203" s="87"/>
      <c r="L203" s="87"/>
      <c r="M203" s="87"/>
      <c r="N203" s="87"/>
      <c r="O203" s="87"/>
      <c r="P203" s="87"/>
      <c r="Q203" s="87"/>
      <c r="R203" s="87"/>
      <c r="S203" s="87"/>
      <c r="T203" s="87"/>
      <c r="U203" s="87"/>
      <c r="V203" s="87"/>
      <c r="W203" s="87"/>
      <c r="X203" s="87"/>
      <c r="Y203" s="87"/>
      <c r="Z203" s="87"/>
      <c r="AA203" s="87"/>
      <c r="AB203" s="87"/>
      <c r="AC203" s="87"/>
      <c r="AD203" s="87"/>
      <c r="AE203" s="87"/>
      <c r="AF203" s="87"/>
      <c r="AG203" s="87"/>
      <c r="AH203" s="87"/>
      <c r="AI203" s="87"/>
      <c r="AJ203" s="87"/>
      <c r="AK203" s="87"/>
      <c r="AL203" s="87"/>
      <c r="AM203" s="87"/>
      <c r="AN203" s="87"/>
      <c r="AO203" s="87"/>
      <c r="AP203" s="87"/>
      <c r="AQ203" s="87"/>
      <c r="AR203" s="87"/>
      <c r="AS203" s="87"/>
      <c r="AT203" s="87"/>
      <c r="AU203" s="87"/>
      <c r="AV203" s="87"/>
      <c r="AW203" s="87"/>
      <c r="AX203" s="87"/>
      <c r="AY203" s="87"/>
      <c r="AZ203" s="87"/>
      <c r="BA203" s="87"/>
      <c r="BB203" s="87"/>
      <c r="BC203" s="87"/>
      <c r="BD203" s="87"/>
      <c r="BE203" s="87"/>
      <c r="BF203" s="87"/>
      <c r="BG203" s="87"/>
      <c r="BH203" s="87"/>
    </row>
    <row r="204" spans="1:60" x14ac:dyDescent="0.25">
      <c r="A204" s="87"/>
      <c r="J204" s="87"/>
      <c r="K204" s="87"/>
      <c r="L204" s="87"/>
      <c r="M204" s="87"/>
      <c r="N204" s="87"/>
      <c r="O204" s="87"/>
      <c r="P204" s="87"/>
      <c r="Q204" s="87"/>
      <c r="R204" s="87"/>
      <c r="S204" s="87"/>
      <c r="T204" s="87"/>
      <c r="U204" s="87"/>
      <c r="V204" s="87"/>
      <c r="W204" s="87"/>
      <c r="X204" s="87"/>
      <c r="Y204" s="87"/>
      <c r="Z204" s="87"/>
      <c r="AA204" s="87"/>
      <c r="AB204" s="87"/>
      <c r="AC204" s="87"/>
      <c r="AD204" s="87"/>
      <c r="AE204" s="87"/>
      <c r="AF204" s="87"/>
      <c r="AG204" s="87"/>
      <c r="AH204" s="87"/>
      <c r="AI204" s="87"/>
      <c r="AJ204" s="87"/>
      <c r="AK204" s="87"/>
      <c r="AL204" s="87"/>
      <c r="AM204" s="87"/>
      <c r="AN204" s="87"/>
      <c r="AO204" s="87"/>
      <c r="AP204" s="87"/>
      <c r="AQ204" s="87"/>
      <c r="AR204" s="87"/>
      <c r="AS204" s="87"/>
      <c r="AT204" s="87"/>
      <c r="AU204" s="87"/>
      <c r="AV204" s="87"/>
      <c r="AW204" s="87"/>
      <c r="AX204" s="87"/>
      <c r="AY204" s="87"/>
      <c r="AZ204" s="87"/>
      <c r="BA204" s="87"/>
      <c r="BB204" s="87"/>
      <c r="BC204" s="87"/>
      <c r="BD204" s="87"/>
      <c r="BE204" s="87"/>
      <c r="BF204" s="87"/>
      <c r="BG204" s="87"/>
      <c r="BH204" s="87"/>
    </row>
    <row r="205" spans="1:60" x14ac:dyDescent="0.25">
      <c r="A205" s="87"/>
      <c r="J205" s="87"/>
      <c r="K205" s="87"/>
      <c r="L205" s="87"/>
      <c r="M205" s="87"/>
      <c r="N205" s="87"/>
      <c r="O205" s="87"/>
      <c r="P205" s="87"/>
      <c r="Q205" s="87"/>
      <c r="R205" s="87"/>
      <c r="S205" s="87"/>
      <c r="T205" s="87"/>
      <c r="U205" s="87"/>
      <c r="V205" s="87"/>
      <c r="W205" s="87"/>
      <c r="X205" s="87"/>
      <c r="Y205" s="87"/>
      <c r="Z205" s="87"/>
      <c r="AA205" s="87"/>
      <c r="AB205" s="87"/>
      <c r="AC205" s="87"/>
      <c r="AD205" s="87"/>
      <c r="AE205" s="87"/>
      <c r="AF205" s="87"/>
      <c r="AG205" s="87"/>
      <c r="AH205" s="87"/>
      <c r="AI205" s="87"/>
      <c r="AJ205" s="87"/>
      <c r="AK205" s="87"/>
      <c r="AL205" s="87"/>
      <c r="AM205" s="87"/>
      <c r="AN205" s="87"/>
      <c r="AO205" s="87"/>
      <c r="AP205" s="87"/>
      <c r="AQ205" s="87"/>
      <c r="AR205" s="87"/>
      <c r="AS205" s="87"/>
      <c r="AT205" s="87"/>
      <c r="AU205" s="87"/>
      <c r="AV205" s="87"/>
      <c r="AW205" s="87"/>
      <c r="AX205" s="87"/>
      <c r="AY205" s="87"/>
      <c r="AZ205" s="87"/>
      <c r="BA205" s="87"/>
      <c r="BB205" s="87"/>
      <c r="BC205" s="87"/>
      <c r="BD205" s="87"/>
      <c r="BE205" s="87"/>
      <c r="BF205" s="87"/>
      <c r="BG205" s="87"/>
      <c r="BH205" s="87"/>
    </row>
    <row r="206" spans="1:60" x14ac:dyDescent="0.25">
      <c r="A206" s="87"/>
      <c r="J206" s="87"/>
      <c r="K206" s="87"/>
      <c r="L206" s="87"/>
      <c r="M206" s="87"/>
      <c r="N206" s="87"/>
      <c r="O206" s="87"/>
      <c r="P206" s="87"/>
      <c r="Q206" s="87"/>
      <c r="R206" s="87"/>
      <c r="S206" s="87"/>
      <c r="T206" s="87"/>
      <c r="U206" s="87"/>
      <c r="V206" s="87"/>
      <c r="W206" s="87"/>
      <c r="X206" s="87"/>
      <c r="Y206" s="87"/>
      <c r="Z206" s="87"/>
      <c r="AA206" s="87"/>
      <c r="AB206" s="87"/>
      <c r="AC206" s="87"/>
      <c r="AD206" s="87"/>
      <c r="AE206" s="87"/>
      <c r="AF206" s="87"/>
      <c r="AG206" s="87"/>
      <c r="AH206" s="87"/>
      <c r="AI206" s="87"/>
      <c r="AJ206" s="87"/>
      <c r="AK206" s="87"/>
      <c r="AL206" s="87"/>
      <c r="AM206" s="87"/>
      <c r="AN206" s="87"/>
      <c r="AO206" s="87"/>
      <c r="AP206" s="87"/>
      <c r="AQ206" s="87"/>
      <c r="AR206" s="87"/>
      <c r="AS206" s="87"/>
      <c r="AT206" s="87"/>
      <c r="AU206" s="87"/>
      <c r="AV206" s="87"/>
      <c r="AW206" s="87"/>
      <c r="AX206" s="87"/>
      <c r="AY206" s="87"/>
      <c r="AZ206" s="87"/>
      <c r="BA206" s="87"/>
      <c r="BB206" s="87"/>
      <c r="BC206" s="87"/>
      <c r="BD206" s="87"/>
      <c r="BE206" s="87"/>
      <c r="BF206" s="87"/>
      <c r="BG206" s="87"/>
      <c r="BH206" s="87"/>
    </row>
    <row r="207" spans="1:60" x14ac:dyDescent="0.25">
      <c r="A207" s="87"/>
      <c r="J207" s="87"/>
      <c r="K207" s="87"/>
      <c r="L207" s="87"/>
      <c r="M207" s="87"/>
      <c r="N207" s="87"/>
      <c r="O207" s="87"/>
      <c r="P207" s="87"/>
      <c r="Q207" s="87"/>
      <c r="R207" s="87"/>
      <c r="S207" s="87"/>
      <c r="T207" s="87"/>
      <c r="U207" s="87"/>
      <c r="V207" s="87"/>
      <c r="W207" s="87"/>
      <c r="X207" s="87"/>
      <c r="Y207" s="87"/>
      <c r="Z207" s="87"/>
      <c r="AA207" s="87"/>
      <c r="AB207" s="87"/>
      <c r="AC207" s="87"/>
      <c r="AD207" s="87"/>
      <c r="AE207" s="87"/>
      <c r="AF207" s="87"/>
      <c r="AG207" s="87"/>
      <c r="AH207" s="87"/>
      <c r="AI207" s="87"/>
      <c r="AJ207" s="87"/>
      <c r="AK207" s="87"/>
      <c r="AL207" s="87"/>
      <c r="AM207" s="87"/>
      <c r="AN207" s="87"/>
      <c r="AO207" s="87"/>
      <c r="AP207" s="87"/>
      <c r="AQ207" s="87"/>
      <c r="AR207" s="87"/>
      <c r="AS207" s="87"/>
      <c r="AT207" s="87"/>
      <c r="AU207" s="87"/>
      <c r="AV207" s="87"/>
      <c r="AW207" s="87"/>
      <c r="AX207" s="87"/>
      <c r="AY207" s="87"/>
      <c r="AZ207" s="87"/>
      <c r="BA207" s="87"/>
      <c r="BB207" s="87"/>
      <c r="BC207" s="87"/>
      <c r="BD207" s="87"/>
      <c r="BE207" s="87"/>
      <c r="BF207" s="87"/>
      <c r="BG207" s="87"/>
      <c r="BH207" s="87"/>
    </row>
    <row r="208" spans="1:60" x14ac:dyDescent="0.25">
      <c r="A208" s="87"/>
      <c r="J208" s="87"/>
      <c r="K208" s="87"/>
      <c r="L208" s="87"/>
      <c r="M208" s="87"/>
      <c r="N208" s="87"/>
      <c r="O208" s="87"/>
      <c r="P208" s="87"/>
      <c r="Q208" s="87"/>
      <c r="R208" s="87"/>
      <c r="S208" s="87"/>
      <c r="T208" s="87"/>
      <c r="U208" s="87"/>
      <c r="V208" s="87"/>
      <c r="W208" s="87"/>
      <c r="X208" s="87"/>
      <c r="Y208" s="87"/>
      <c r="Z208" s="87"/>
      <c r="AA208" s="87"/>
      <c r="AB208" s="87"/>
      <c r="AC208" s="87"/>
      <c r="AD208" s="87"/>
      <c r="AE208" s="87"/>
      <c r="AF208" s="87"/>
      <c r="AG208" s="87"/>
      <c r="AH208" s="87"/>
      <c r="AI208" s="87"/>
      <c r="AJ208" s="87"/>
      <c r="AK208" s="87"/>
      <c r="AL208" s="87"/>
      <c r="AM208" s="87"/>
      <c r="AN208" s="87"/>
      <c r="AO208" s="87"/>
      <c r="AP208" s="87"/>
      <c r="AQ208" s="87"/>
      <c r="AR208" s="87"/>
      <c r="AS208" s="87"/>
      <c r="AT208" s="87"/>
      <c r="AU208" s="87"/>
      <c r="AV208" s="87"/>
      <c r="AW208" s="87"/>
      <c r="AX208" s="87"/>
      <c r="AY208" s="87"/>
      <c r="AZ208" s="87"/>
      <c r="BA208" s="87"/>
      <c r="BB208" s="87"/>
      <c r="BC208" s="87"/>
      <c r="BD208" s="87"/>
      <c r="BE208" s="87"/>
      <c r="BF208" s="87"/>
      <c r="BG208" s="87"/>
      <c r="BH208" s="87"/>
    </row>
    <row r="209" spans="1:60" x14ac:dyDescent="0.25">
      <c r="A209" s="87"/>
      <c r="J209" s="87"/>
      <c r="K209" s="87"/>
      <c r="L209" s="87"/>
      <c r="M209" s="87"/>
      <c r="N209" s="87"/>
      <c r="O209" s="87"/>
      <c r="P209" s="87"/>
      <c r="Q209" s="87"/>
      <c r="R209" s="87"/>
      <c r="S209" s="87"/>
      <c r="T209" s="87"/>
      <c r="U209" s="87"/>
      <c r="V209" s="87"/>
      <c r="W209" s="87"/>
      <c r="X209" s="87"/>
      <c r="Y209" s="87"/>
      <c r="Z209" s="87"/>
      <c r="AA209" s="87"/>
      <c r="AB209" s="87"/>
      <c r="AC209" s="87"/>
      <c r="AD209" s="87"/>
      <c r="AE209" s="87"/>
      <c r="AF209" s="87"/>
      <c r="AG209" s="87"/>
      <c r="AH209" s="87"/>
      <c r="AI209" s="87"/>
      <c r="AJ209" s="87"/>
      <c r="AK209" s="87"/>
      <c r="AL209" s="87"/>
      <c r="AM209" s="87"/>
      <c r="AN209" s="87"/>
      <c r="AO209" s="87"/>
      <c r="AP209" s="87"/>
      <c r="AQ209" s="87"/>
      <c r="AR209" s="87"/>
      <c r="AS209" s="87"/>
      <c r="AT209" s="87"/>
      <c r="AU209" s="87"/>
      <c r="AV209" s="87"/>
      <c r="AW209" s="87"/>
      <c r="AX209" s="87"/>
      <c r="AY209" s="87"/>
      <c r="AZ209" s="87"/>
      <c r="BA209" s="87"/>
      <c r="BB209" s="87"/>
      <c r="BC209" s="87"/>
      <c r="BD209" s="87"/>
      <c r="BE209" s="87"/>
      <c r="BF209" s="87"/>
      <c r="BG209" s="87"/>
      <c r="BH209" s="87"/>
    </row>
    <row r="210" spans="1:60" x14ac:dyDescent="0.25">
      <c r="A210" s="87"/>
      <c r="J210" s="87"/>
      <c r="K210" s="87"/>
      <c r="L210" s="87"/>
      <c r="M210" s="87"/>
      <c r="N210" s="87"/>
      <c r="O210" s="87"/>
      <c r="P210" s="87"/>
      <c r="Q210" s="87"/>
      <c r="R210" s="87"/>
      <c r="S210" s="87"/>
      <c r="T210" s="87"/>
      <c r="U210" s="87"/>
      <c r="V210" s="87"/>
      <c r="W210" s="87"/>
      <c r="X210" s="87"/>
      <c r="Y210" s="87"/>
      <c r="Z210" s="87"/>
      <c r="AA210" s="87"/>
      <c r="AB210" s="87"/>
      <c r="AC210" s="87"/>
      <c r="AD210" s="87"/>
      <c r="AE210" s="87"/>
      <c r="AF210" s="87"/>
      <c r="AG210" s="87"/>
      <c r="AH210" s="87"/>
      <c r="AI210" s="87"/>
      <c r="AJ210" s="87"/>
      <c r="AK210" s="87"/>
      <c r="AL210" s="87"/>
      <c r="AM210" s="87"/>
      <c r="AN210" s="87"/>
      <c r="AO210" s="87"/>
      <c r="AP210" s="87"/>
      <c r="AQ210" s="87"/>
      <c r="AR210" s="87"/>
      <c r="AS210" s="87"/>
      <c r="AT210" s="87"/>
      <c r="AU210" s="87"/>
      <c r="AV210" s="87"/>
      <c r="AW210" s="87"/>
      <c r="AX210" s="87"/>
      <c r="AY210" s="87"/>
      <c r="AZ210" s="87"/>
      <c r="BA210" s="87"/>
      <c r="BB210" s="87"/>
      <c r="BC210" s="87"/>
      <c r="BD210" s="87"/>
      <c r="BE210" s="87"/>
      <c r="BF210" s="87"/>
      <c r="BG210" s="87"/>
      <c r="BH210" s="87"/>
    </row>
    <row r="211" spans="1:60" x14ac:dyDescent="0.25">
      <c r="A211" s="87"/>
      <c r="J211" s="87"/>
      <c r="K211" s="87"/>
      <c r="L211" s="87"/>
      <c r="M211" s="87"/>
      <c r="N211" s="87"/>
      <c r="O211" s="87"/>
      <c r="P211" s="87"/>
      <c r="Q211" s="87"/>
      <c r="R211" s="87"/>
      <c r="S211" s="87"/>
      <c r="T211" s="87"/>
      <c r="U211" s="87"/>
      <c r="V211" s="87"/>
      <c r="W211" s="87"/>
      <c r="X211" s="87"/>
      <c r="Y211" s="87"/>
      <c r="Z211" s="87"/>
      <c r="AA211" s="87"/>
      <c r="AB211" s="87"/>
      <c r="AC211" s="87"/>
      <c r="AD211" s="87"/>
      <c r="AE211" s="87"/>
      <c r="AF211" s="87"/>
      <c r="AG211" s="87"/>
      <c r="AH211" s="87"/>
      <c r="AI211" s="87"/>
      <c r="AJ211" s="87"/>
      <c r="AK211" s="87"/>
      <c r="AL211" s="87"/>
      <c r="AM211" s="87"/>
      <c r="AN211" s="87"/>
      <c r="AO211" s="87"/>
      <c r="AP211" s="87"/>
      <c r="AQ211" s="87"/>
      <c r="AR211" s="87"/>
      <c r="AS211" s="87"/>
      <c r="AT211" s="87"/>
      <c r="AU211" s="87"/>
      <c r="AV211" s="87"/>
      <c r="AW211" s="87"/>
      <c r="AX211" s="87"/>
      <c r="AY211" s="87"/>
      <c r="AZ211" s="87"/>
      <c r="BA211" s="87"/>
      <c r="BB211" s="87"/>
      <c r="BC211" s="87"/>
      <c r="BD211" s="87"/>
      <c r="BE211" s="87"/>
      <c r="BF211" s="87"/>
      <c r="BG211" s="87"/>
      <c r="BH211" s="87"/>
    </row>
    <row r="212" spans="1:60" x14ac:dyDescent="0.25">
      <c r="A212" s="87"/>
      <c r="J212" s="87"/>
      <c r="K212" s="87"/>
      <c r="L212" s="87"/>
      <c r="M212" s="87"/>
      <c r="N212" s="87"/>
      <c r="O212" s="87"/>
      <c r="P212" s="87"/>
      <c r="Q212" s="87"/>
      <c r="R212" s="87"/>
      <c r="S212" s="87"/>
      <c r="T212" s="87"/>
      <c r="U212" s="87"/>
      <c r="V212" s="87"/>
      <c r="W212" s="87"/>
      <c r="X212" s="87"/>
      <c r="Y212" s="87"/>
      <c r="Z212" s="87"/>
      <c r="AA212" s="87"/>
      <c r="AB212" s="87"/>
      <c r="AC212" s="87"/>
      <c r="AD212" s="87"/>
      <c r="AE212" s="87"/>
      <c r="AF212" s="87"/>
      <c r="AG212" s="87"/>
      <c r="AH212" s="87"/>
      <c r="AI212" s="87"/>
      <c r="AJ212" s="87"/>
      <c r="AK212" s="87"/>
      <c r="AL212" s="87"/>
      <c r="AM212" s="87"/>
      <c r="AN212" s="87"/>
      <c r="AO212" s="87"/>
      <c r="AP212" s="87"/>
      <c r="AQ212" s="87"/>
      <c r="AR212" s="87"/>
      <c r="AS212" s="87"/>
      <c r="AT212" s="87"/>
      <c r="AU212" s="87"/>
      <c r="AV212" s="87"/>
      <c r="AW212" s="87"/>
      <c r="AX212" s="87"/>
      <c r="AY212" s="87"/>
      <c r="AZ212" s="87"/>
      <c r="BA212" s="87"/>
      <c r="BB212" s="87"/>
      <c r="BC212" s="87"/>
      <c r="BD212" s="87"/>
      <c r="BE212" s="87"/>
      <c r="BF212" s="87"/>
      <c r="BG212" s="87"/>
      <c r="BH212" s="87"/>
    </row>
    <row r="213" spans="1:60" x14ac:dyDescent="0.25">
      <c r="A213" s="87"/>
      <c r="J213" s="87"/>
      <c r="K213" s="87"/>
      <c r="L213" s="87"/>
      <c r="M213" s="87"/>
      <c r="N213" s="87"/>
      <c r="O213" s="87"/>
      <c r="P213" s="87"/>
      <c r="Q213" s="87"/>
      <c r="R213" s="87"/>
      <c r="S213" s="87"/>
      <c r="T213" s="87"/>
      <c r="U213" s="87"/>
      <c r="V213" s="87"/>
      <c r="W213" s="87"/>
      <c r="X213" s="87"/>
      <c r="Y213" s="87"/>
      <c r="Z213" s="87"/>
      <c r="AA213" s="87"/>
      <c r="AB213" s="87"/>
      <c r="AC213" s="87"/>
      <c r="AD213" s="87"/>
      <c r="AE213" s="87"/>
      <c r="AF213" s="87"/>
      <c r="AG213" s="87"/>
      <c r="AH213" s="87"/>
      <c r="AI213" s="87"/>
      <c r="AJ213" s="87"/>
      <c r="AK213" s="87"/>
      <c r="AL213" s="87"/>
      <c r="AM213" s="87"/>
      <c r="AN213" s="87"/>
      <c r="AO213" s="87"/>
      <c r="AP213" s="87"/>
      <c r="AQ213" s="87"/>
      <c r="AR213" s="87"/>
      <c r="AS213" s="87"/>
      <c r="AT213" s="87"/>
      <c r="AU213" s="87"/>
      <c r="AV213" s="87"/>
      <c r="AW213" s="87"/>
      <c r="AX213" s="87"/>
      <c r="AY213" s="87"/>
      <c r="AZ213" s="87"/>
      <c r="BA213" s="87"/>
      <c r="BB213" s="87"/>
      <c r="BC213" s="87"/>
      <c r="BD213" s="87"/>
      <c r="BE213" s="87"/>
      <c r="BF213" s="87"/>
      <c r="BG213" s="87"/>
      <c r="BH213" s="87"/>
    </row>
    <row r="214" spans="1:60" x14ac:dyDescent="0.25">
      <c r="A214" s="87"/>
      <c r="J214" s="87"/>
      <c r="K214" s="87"/>
      <c r="L214" s="87"/>
      <c r="M214" s="87"/>
      <c r="N214" s="87"/>
      <c r="O214" s="87"/>
      <c r="P214" s="87"/>
      <c r="Q214" s="87"/>
      <c r="R214" s="87"/>
      <c r="S214" s="87"/>
      <c r="T214" s="87"/>
      <c r="U214" s="87"/>
      <c r="V214" s="87"/>
      <c r="W214" s="87"/>
      <c r="X214" s="87"/>
      <c r="Y214" s="87"/>
      <c r="Z214" s="87"/>
      <c r="AA214" s="87"/>
      <c r="AB214" s="87"/>
      <c r="AC214" s="87"/>
      <c r="AD214" s="87"/>
      <c r="AE214" s="87"/>
      <c r="AF214" s="87"/>
      <c r="AG214" s="87"/>
      <c r="AH214" s="87"/>
      <c r="AI214" s="87"/>
      <c r="AJ214" s="87"/>
      <c r="AK214" s="87"/>
      <c r="AL214" s="87"/>
      <c r="AM214" s="87"/>
      <c r="AN214" s="87"/>
      <c r="AO214" s="87"/>
      <c r="AP214" s="87"/>
      <c r="AQ214" s="87"/>
      <c r="AR214" s="87"/>
      <c r="AS214" s="87"/>
      <c r="AT214" s="87"/>
      <c r="AU214" s="87"/>
      <c r="AV214" s="87"/>
      <c r="AW214" s="87"/>
      <c r="AX214" s="87"/>
      <c r="AY214" s="87"/>
      <c r="AZ214" s="87"/>
      <c r="BA214" s="87"/>
      <c r="BB214" s="87"/>
      <c r="BC214" s="87"/>
      <c r="BD214" s="87"/>
      <c r="BE214" s="87"/>
      <c r="BF214" s="87"/>
      <c r="BG214" s="87"/>
      <c r="BH214" s="87"/>
    </row>
    <row r="215" spans="1:60" x14ac:dyDescent="0.25">
      <c r="A215" s="87"/>
      <c r="J215" s="87"/>
      <c r="K215" s="87"/>
      <c r="L215" s="87"/>
      <c r="M215" s="87"/>
      <c r="N215" s="87"/>
      <c r="O215" s="87"/>
      <c r="P215" s="87"/>
      <c r="Q215" s="87"/>
      <c r="R215" s="87"/>
      <c r="S215" s="87"/>
      <c r="T215" s="87"/>
      <c r="U215" s="87"/>
      <c r="V215" s="87"/>
      <c r="W215" s="87"/>
      <c r="X215" s="87"/>
      <c r="Y215" s="87"/>
      <c r="Z215" s="87"/>
      <c r="AA215" s="87"/>
      <c r="AB215" s="87"/>
      <c r="AC215" s="87"/>
      <c r="AD215" s="87"/>
      <c r="AE215" s="87"/>
      <c r="AF215" s="87"/>
      <c r="AG215" s="87"/>
      <c r="AH215" s="87"/>
      <c r="AI215" s="87"/>
      <c r="AJ215" s="87"/>
      <c r="AK215" s="87"/>
      <c r="AL215" s="87"/>
      <c r="AM215" s="87"/>
      <c r="AN215" s="87"/>
      <c r="AO215" s="87"/>
      <c r="AP215" s="87"/>
      <c r="AQ215" s="87"/>
      <c r="AR215" s="87"/>
      <c r="AS215" s="87"/>
      <c r="AT215" s="87"/>
      <c r="AU215" s="87"/>
      <c r="AV215" s="87"/>
      <c r="AW215" s="87"/>
      <c r="AX215" s="87"/>
      <c r="AY215" s="87"/>
      <c r="AZ215" s="87"/>
      <c r="BA215" s="87"/>
      <c r="BB215" s="87"/>
      <c r="BC215" s="87"/>
      <c r="BD215" s="87"/>
      <c r="BE215" s="87"/>
      <c r="BF215" s="87"/>
      <c r="BG215" s="87"/>
      <c r="BH215" s="87"/>
    </row>
    <row r="216" spans="1:60" x14ac:dyDescent="0.25">
      <c r="A216" s="87"/>
      <c r="J216" s="87"/>
      <c r="K216" s="87"/>
      <c r="L216" s="87"/>
      <c r="M216" s="87"/>
      <c r="N216" s="87"/>
      <c r="O216" s="87"/>
      <c r="P216" s="87"/>
      <c r="Q216" s="87"/>
      <c r="R216" s="87"/>
      <c r="S216" s="87"/>
      <c r="T216" s="87"/>
      <c r="U216" s="87"/>
      <c r="V216" s="87"/>
      <c r="W216" s="87"/>
      <c r="X216" s="87"/>
      <c r="Y216" s="87"/>
      <c r="Z216" s="87"/>
      <c r="AA216" s="87"/>
      <c r="AB216" s="87"/>
      <c r="AC216" s="87"/>
      <c r="AD216" s="87"/>
      <c r="AE216" s="87"/>
      <c r="AF216" s="87"/>
      <c r="AG216" s="87"/>
      <c r="AH216" s="87"/>
      <c r="AI216" s="87"/>
      <c r="AJ216" s="87"/>
      <c r="AK216" s="87"/>
      <c r="AL216" s="87"/>
      <c r="AM216" s="87"/>
      <c r="AN216" s="87"/>
      <c r="AO216" s="87"/>
      <c r="AP216" s="87"/>
      <c r="AQ216" s="87"/>
      <c r="AR216" s="87"/>
      <c r="AS216" s="87"/>
      <c r="AT216" s="87"/>
      <c r="AU216" s="87"/>
      <c r="AV216" s="87"/>
      <c r="AW216" s="87"/>
      <c r="AX216" s="87"/>
      <c r="AY216" s="87"/>
      <c r="AZ216" s="87"/>
      <c r="BA216" s="87"/>
      <c r="BB216" s="87"/>
      <c r="BC216" s="87"/>
      <c r="BD216" s="87"/>
      <c r="BE216" s="87"/>
      <c r="BF216" s="87"/>
      <c r="BG216" s="87"/>
      <c r="BH216" s="87"/>
    </row>
    <row r="217" spans="1:60" x14ac:dyDescent="0.25">
      <c r="A217" s="87"/>
      <c r="J217" s="87"/>
      <c r="K217" s="87"/>
      <c r="L217" s="87"/>
      <c r="M217" s="87"/>
      <c r="N217" s="87"/>
      <c r="O217" s="87"/>
      <c r="P217" s="87"/>
      <c r="Q217" s="87"/>
      <c r="R217" s="87"/>
      <c r="S217" s="87"/>
      <c r="T217" s="87"/>
      <c r="U217" s="87"/>
      <c r="V217" s="87"/>
      <c r="W217" s="87"/>
      <c r="X217" s="87"/>
      <c r="Y217" s="87"/>
      <c r="Z217" s="87"/>
      <c r="AA217" s="87"/>
      <c r="AB217" s="87"/>
      <c r="AC217" s="87"/>
      <c r="AD217" s="87"/>
      <c r="AE217" s="87"/>
      <c r="AF217" s="87"/>
      <c r="AG217" s="87"/>
      <c r="AH217" s="87"/>
      <c r="AI217" s="87"/>
      <c r="AJ217" s="87"/>
      <c r="AK217" s="87"/>
      <c r="AL217" s="87"/>
      <c r="AM217" s="87"/>
      <c r="AN217" s="87"/>
      <c r="AO217" s="87"/>
      <c r="AP217" s="87"/>
      <c r="AQ217" s="87"/>
      <c r="AR217" s="87"/>
      <c r="AS217" s="87"/>
      <c r="AT217" s="87"/>
      <c r="AU217" s="87"/>
      <c r="AV217" s="87"/>
      <c r="AW217" s="87"/>
      <c r="AX217" s="87"/>
      <c r="AY217" s="87"/>
      <c r="AZ217" s="87"/>
      <c r="BA217" s="87"/>
      <c r="BB217" s="87"/>
      <c r="BC217" s="87"/>
      <c r="BD217" s="87"/>
      <c r="BE217" s="87"/>
      <c r="BF217" s="87"/>
      <c r="BG217" s="87"/>
      <c r="BH217" s="87"/>
    </row>
    <row r="218" spans="1:60" x14ac:dyDescent="0.25">
      <c r="A218" s="87"/>
      <c r="J218" s="87"/>
      <c r="K218" s="87"/>
      <c r="L218" s="87"/>
      <c r="M218" s="87"/>
      <c r="N218" s="87"/>
      <c r="O218" s="87"/>
      <c r="P218" s="87"/>
      <c r="Q218" s="87"/>
      <c r="R218" s="87"/>
      <c r="S218" s="87"/>
      <c r="T218" s="87"/>
      <c r="U218" s="87"/>
      <c r="V218" s="87"/>
      <c r="W218" s="87"/>
      <c r="X218" s="87"/>
      <c r="Y218" s="87"/>
      <c r="Z218" s="87"/>
      <c r="AA218" s="87"/>
      <c r="AB218" s="87"/>
      <c r="AC218" s="87"/>
      <c r="AD218" s="87"/>
      <c r="AE218" s="87"/>
      <c r="AF218" s="87"/>
      <c r="AG218" s="87"/>
      <c r="AH218" s="87"/>
      <c r="AI218" s="87"/>
      <c r="AJ218" s="87"/>
      <c r="AK218" s="87"/>
      <c r="AL218" s="87"/>
      <c r="AM218" s="87"/>
      <c r="AN218" s="87"/>
      <c r="AO218" s="87"/>
      <c r="AP218" s="87"/>
      <c r="AQ218" s="87"/>
      <c r="AR218" s="87"/>
      <c r="AS218" s="87"/>
      <c r="AT218" s="87"/>
      <c r="AU218" s="87"/>
      <c r="AV218" s="87"/>
      <c r="AW218" s="87"/>
      <c r="AX218" s="87"/>
      <c r="AY218" s="87"/>
      <c r="AZ218" s="87"/>
      <c r="BA218" s="87"/>
      <c r="BB218" s="87"/>
      <c r="BC218" s="87"/>
      <c r="BD218" s="87"/>
      <c r="BE218" s="87"/>
      <c r="BF218" s="87"/>
      <c r="BG218" s="87"/>
      <c r="BH218" s="87"/>
    </row>
    <row r="219" spans="1:60" x14ac:dyDescent="0.25">
      <c r="A219" s="87"/>
      <c r="J219" s="87"/>
      <c r="K219" s="87"/>
      <c r="L219" s="87"/>
      <c r="M219" s="87"/>
      <c r="N219" s="87"/>
      <c r="O219" s="87"/>
      <c r="P219" s="87"/>
      <c r="Q219" s="87"/>
      <c r="R219" s="87"/>
      <c r="S219" s="87"/>
      <c r="T219" s="87"/>
      <c r="U219" s="87"/>
      <c r="V219" s="87"/>
      <c r="W219" s="87"/>
      <c r="X219" s="87"/>
      <c r="Y219" s="87"/>
      <c r="Z219" s="87"/>
      <c r="AA219" s="87"/>
      <c r="AB219" s="87"/>
      <c r="AC219" s="87"/>
      <c r="AD219" s="87"/>
      <c r="AE219" s="87"/>
      <c r="AF219" s="87"/>
      <c r="AG219" s="87"/>
      <c r="AH219" s="87"/>
      <c r="AI219" s="87"/>
      <c r="AJ219" s="87"/>
      <c r="AK219" s="87"/>
      <c r="AL219" s="87"/>
      <c r="AM219" s="87"/>
      <c r="AN219" s="87"/>
      <c r="AO219" s="87"/>
      <c r="AP219" s="87"/>
      <c r="AQ219" s="87"/>
      <c r="AR219" s="87"/>
      <c r="AS219" s="87"/>
      <c r="AT219" s="87"/>
      <c r="AU219" s="87"/>
      <c r="AV219" s="87"/>
      <c r="AW219" s="87"/>
      <c r="AX219" s="87"/>
      <c r="AY219" s="87"/>
      <c r="AZ219" s="87"/>
      <c r="BA219" s="87"/>
      <c r="BB219" s="87"/>
      <c r="BC219" s="87"/>
      <c r="BD219" s="87"/>
      <c r="BE219" s="87"/>
      <c r="BF219" s="87"/>
      <c r="BG219" s="87"/>
      <c r="BH219" s="87"/>
    </row>
    <row r="220" spans="1:60" x14ac:dyDescent="0.25">
      <c r="A220" s="87"/>
      <c r="J220" s="87"/>
      <c r="K220" s="87"/>
      <c r="L220" s="87"/>
      <c r="M220" s="87"/>
      <c r="N220" s="87"/>
      <c r="O220" s="87"/>
      <c r="P220" s="87"/>
      <c r="Q220" s="87"/>
      <c r="R220" s="87"/>
      <c r="S220" s="87"/>
      <c r="T220" s="87"/>
      <c r="U220" s="87"/>
      <c r="V220" s="87"/>
      <c r="W220" s="87"/>
      <c r="X220" s="87"/>
      <c r="Y220" s="87"/>
      <c r="Z220" s="87"/>
      <c r="AA220" s="87"/>
      <c r="AB220" s="87"/>
      <c r="AC220" s="87"/>
      <c r="AD220" s="87"/>
      <c r="AE220" s="87"/>
      <c r="AF220" s="87"/>
      <c r="AG220" s="87"/>
      <c r="AH220" s="87"/>
      <c r="AI220" s="87"/>
      <c r="AJ220" s="87"/>
      <c r="AK220" s="87"/>
      <c r="AL220" s="87"/>
      <c r="AM220" s="87"/>
      <c r="AN220" s="87"/>
      <c r="AO220" s="87"/>
      <c r="AP220" s="87"/>
      <c r="AQ220" s="87"/>
      <c r="AR220" s="87"/>
      <c r="AS220" s="87"/>
      <c r="AT220" s="87"/>
      <c r="AU220" s="87"/>
      <c r="AV220" s="87"/>
      <c r="AW220" s="87"/>
      <c r="AX220" s="87"/>
      <c r="AY220" s="87"/>
      <c r="AZ220" s="87"/>
      <c r="BA220" s="87"/>
      <c r="BB220" s="87"/>
      <c r="BC220" s="87"/>
      <c r="BD220" s="87"/>
      <c r="BE220" s="87"/>
      <c r="BF220" s="87"/>
      <c r="BG220" s="87"/>
      <c r="BH220" s="87"/>
    </row>
    <row r="221" spans="1:60" x14ac:dyDescent="0.25">
      <c r="A221" s="87"/>
      <c r="J221" s="87"/>
      <c r="K221" s="87"/>
      <c r="L221" s="87"/>
      <c r="M221" s="87"/>
      <c r="N221" s="87"/>
      <c r="O221" s="87"/>
      <c r="P221" s="87"/>
      <c r="Q221" s="87"/>
      <c r="R221" s="87"/>
      <c r="S221" s="87"/>
      <c r="T221" s="87"/>
      <c r="U221" s="87"/>
      <c r="V221" s="87"/>
      <c r="W221" s="87"/>
      <c r="X221" s="87"/>
      <c r="Y221" s="87"/>
      <c r="Z221" s="87"/>
      <c r="AA221" s="87"/>
      <c r="AB221" s="87"/>
      <c r="AC221" s="87"/>
      <c r="AD221" s="87"/>
      <c r="AE221" s="87"/>
      <c r="AF221" s="87"/>
      <c r="AG221" s="87"/>
      <c r="AH221" s="87"/>
      <c r="AI221" s="87"/>
      <c r="AJ221" s="87"/>
      <c r="AK221" s="87"/>
      <c r="AL221" s="87"/>
      <c r="AM221" s="87"/>
      <c r="AN221" s="87"/>
      <c r="AO221" s="87"/>
      <c r="AP221" s="87"/>
      <c r="AQ221" s="87"/>
      <c r="AR221" s="87"/>
      <c r="AS221" s="87"/>
      <c r="AT221" s="87"/>
      <c r="AU221" s="87"/>
      <c r="AV221" s="87"/>
      <c r="AW221" s="87"/>
      <c r="AX221" s="87"/>
      <c r="AY221" s="87"/>
      <c r="AZ221" s="87"/>
      <c r="BA221" s="87"/>
      <c r="BB221" s="87"/>
      <c r="BC221" s="87"/>
      <c r="BD221" s="87"/>
      <c r="BE221" s="87"/>
      <c r="BF221" s="87"/>
      <c r="BG221" s="87"/>
      <c r="BH221" s="87"/>
    </row>
    <row r="222" spans="1:60" x14ac:dyDescent="0.25">
      <c r="A222" s="87"/>
      <c r="J222" s="87"/>
      <c r="K222" s="87"/>
      <c r="L222" s="87"/>
      <c r="M222" s="87"/>
      <c r="N222" s="87"/>
      <c r="O222" s="87"/>
      <c r="P222" s="87"/>
      <c r="Q222" s="87"/>
      <c r="R222" s="87"/>
      <c r="S222" s="87"/>
      <c r="T222" s="87"/>
      <c r="U222" s="87"/>
      <c r="V222" s="87"/>
      <c r="W222" s="87"/>
      <c r="X222" s="87"/>
      <c r="Y222" s="87"/>
      <c r="Z222" s="87"/>
      <c r="AA222" s="87"/>
      <c r="AB222" s="87"/>
      <c r="AC222" s="87"/>
      <c r="AD222" s="87"/>
      <c r="AE222" s="87"/>
      <c r="AF222" s="87"/>
      <c r="AG222" s="87"/>
      <c r="AH222" s="87"/>
      <c r="AI222" s="87"/>
      <c r="AJ222" s="87"/>
      <c r="AK222" s="87"/>
      <c r="AL222" s="87"/>
      <c r="AM222" s="87"/>
      <c r="AN222" s="87"/>
      <c r="AO222" s="87"/>
      <c r="AP222" s="87"/>
      <c r="AQ222" s="87"/>
      <c r="AR222" s="87"/>
      <c r="AS222" s="87"/>
      <c r="AT222" s="87"/>
      <c r="AU222" s="87"/>
      <c r="AV222" s="87"/>
      <c r="AW222" s="87"/>
      <c r="AX222" s="87"/>
      <c r="AY222" s="87"/>
      <c r="AZ222" s="87"/>
      <c r="BA222" s="87"/>
      <c r="BB222" s="87"/>
      <c r="BC222" s="87"/>
      <c r="BD222" s="87"/>
      <c r="BE222" s="87"/>
      <c r="BF222" s="87"/>
      <c r="BG222" s="87"/>
      <c r="BH222" s="87"/>
    </row>
    <row r="223" spans="1:60" x14ac:dyDescent="0.25">
      <c r="A223" s="87"/>
      <c r="J223" s="87"/>
      <c r="K223" s="87"/>
      <c r="L223" s="87"/>
      <c r="M223" s="87"/>
      <c r="N223" s="87"/>
      <c r="O223" s="87"/>
      <c r="P223" s="87"/>
      <c r="Q223" s="87"/>
      <c r="R223" s="87"/>
      <c r="S223" s="87"/>
      <c r="T223" s="87"/>
      <c r="U223" s="87"/>
      <c r="V223" s="87"/>
      <c r="W223" s="87"/>
      <c r="X223" s="87"/>
      <c r="Y223" s="87"/>
      <c r="Z223" s="87"/>
      <c r="AA223" s="87"/>
      <c r="AB223" s="87"/>
      <c r="AC223" s="87"/>
      <c r="AD223" s="87"/>
      <c r="AE223" s="87"/>
      <c r="AF223" s="87"/>
      <c r="AG223" s="87"/>
      <c r="AH223" s="87"/>
      <c r="AI223" s="87"/>
      <c r="AJ223" s="87"/>
      <c r="AK223" s="87"/>
      <c r="AL223" s="87"/>
      <c r="AM223" s="87"/>
      <c r="AN223" s="87"/>
      <c r="AO223" s="87"/>
      <c r="AP223" s="87"/>
      <c r="AQ223" s="87"/>
      <c r="AR223" s="87"/>
      <c r="AS223" s="87"/>
      <c r="AT223" s="87"/>
      <c r="AU223" s="87"/>
      <c r="AV223" s="87"/>
      <c r="AW223" s="87"/>
      <c r="AX223" s="87"/>
      <c r="AY223" s="87"/>
      <c r="AZ223" s="87"/>
      <c r="BA223" s="87"/>
      <c r="BB223" s="87"/>
      <c r="BC223" s="87"/>
      <c r="BD223" s="87"/>
      <c r="BE223" s="87"/>
      <c r="BF223" s="87"/>
      <c r="BG223" s="87"/>
      <c r="BH223" s="87"/>
    </row>
    <row r="224" spans="1:60" x14ac:dyDescent="0.25">
      <c r="A224" s="87"/>
      <c r="J224" s="87"/>
      <c r="K224" s="87"/>
      <c r="L224" s="87"/>
      <c r="M224" s="87"/>
      <c r="N224" s="87"/>
      <c r="O224" s="87"/>
      <c r="P224" s="87"/>
      <c r="Q224" s="87"/>
      <c r="R224" s="87"/>
      <c r="S224" s="87"/>
      <c r="T224" s="87"/>
      <c r="U224" s="87"/>
      <c r="V224" s="87"/>
      <c r="W224" s="87"/>
      <c r="X224" s="87"/>
      <c r="Y224" s="87"/>
      <c r="Z224" s="87"/>
      <c r="AA224" s="87"/>
      <c r="AB224" s="87"/>
      <c r="AC224" s="87"/>
      <c r="AD224" s="87"/>
      <c r="AE224" s="87"/>
      <c r="AF224" s="87"/>
      <c r="AG224" s="87"/>
      <c r="AH224" s="87"/>
      <c r="AI224" s="87"/>
      <c r="AJ224" s="87"/>
      <c r="AK224" s="87"/>
      <c r="AL224" s="87"/>
      <c r="AM224" s="87"/>
      <c r="AN224" s="87"/>
      <c r="AO224" s="87"/>
      <c r="AP224" s="87"/>
      <c r="AQ224" s="87"/>
      <c r="AR224" s="87"/>
      <c r="AS224" s="87"/>
      <c r="AT224" s="87"/>
      <c r="AU224" s="87"/>
      <c r="AV224" s="87"/>
      <c r="AW224" s="87"/>
      <c r="AX224" s="87"/>
      <c r="AY224" s="87"/>
      <c r="AZ224" s="87"/>
      <c r="BA224" s="87"/>
      <c r="BB224" s="87"/>
      <c r="BC224" s="87"/>
      <c r="BD224" s="87"/>
      <c r="BE224" s="87"/>
      <c r="BF224" s="87"/>
      <c r="BG224" s="87"/>
      <c r="BH224" s="87"/>
    </row>
    <row r="225" spans="1:60" x14ac:dyDescent="0.25">
      <c r="A225" s="87"/>
      <c r="J225" s="87"/>
      <c r="K225" s="87"/>
      <c r="L225" s="87"/>
      <c r="M225" s="87"/>
      <c r="N225" s="87"/>
      <c r="O225" s="87"/>
      <c r="P225" s="87"/>
      <c r="Q225" s="87"/>
      <c r="R225" s="87"/>
      <c r="S225" s="87"/>
      <c r="T225" s="87"/>
      <c r="U225" s="87"/>
      <c r="V225" s="87"/>
      <c r="W225" s="87"/>
      <c r="X225" s="87"/>
      <c r="Y225" s="87"/>
      <c r="Z225" s="87"/>
      <c r="AA225" s="87"/>
      <c r="AB225" s="87"/>
      <c r="AC225" s="87"/>
      <c r="AD225" s="87"/>
      <c r="AE225" s="87"/>
      <c r="AF225" s="87"/>
      <c r="AG225" s="87"/>
      <c r="AH225" s="87"/>
      <c r="AI225" s="87"/>
      <c r="AJ225" s="87"/>
      <c r="AK225" s="87"/>
      <c r="AL225" s="87"/>
      <c r="AM225" s="87"/>
      <c r="AN225" s="87"/>
      <c r="AO225" s="87"/>
      <c r="AP225" s="87"/>
      <c r="AQ225" s="87"/>
      <c r="AR225" s="87"/>
      <c r="AS225" s="87"/>
      <c r="AT225" s="87"/>
      <c r="AU225" s="87"/>
      <c r="AV225" s="87"/>
      <c r="AW225" s="87"/>
      <c r="AX225" s="87"/>
      <c r="AY225" s="87"/>
      <c r="AZ225" s="87"/>
      <c r="BA225" s="87"/>
      <c r="BB225" s="87"/>
      <c r="BC225" s="87"/>
      <c r="BD225" s="87"/>
      <c r="BE225" s="87"/>
      <c r="BF225" s="87"/>
      <c r="BG225" s="87"/>
      <c r="BH225" s="87"/>
    </row>
    <row r="226" spans="1:60" x14ac:dyDescent="0.25">
      <c r="A226" s="87"/>
      <c r="J226" s="87"/>
      <c r="K226" s="87"/>
      <c r="L226" s="87"/>
      <c r="M226" s="87"/>
      <c r="N226" s="87"/>
      <c r="O226" s="87"/>
      <c r="P226" s="87"/>
      <c r="Q226" s="87"/>
      <c r="R226" s="87"/>
      <c r="S226" s="87"/>
      <c r="T226" s="87"/>
      <c r="U226" s="87"/>
      <c r="V226" s="87"/>
      <c r="W226" s="87"/>
      <c r="X226" s="87"/>
      <c r="Y226" s="87"/>
      <c r="Z226" s="87"/>
      <c r="AA226" s="87"/>
      <c r="AB226" s="87"/>
      <c r="AC226" s="87"/>
      <c r="AD226" s="87"/>
      <c r="AE226" s="87"/>
      <c r="AF226" s="87"/>
      <c r="AG226" s="87"/>
      <c r="AH226" s="87"/>
      <c r="AI226" s="87"/>
      <c r="AJ226" s="87"/>
      <c r="AK226" s="87"/>
      <c r="AL226" s="87"/>
      <c r="AM226" s="87"/>
      <c r="AN226" s="87"/>
      <c r="AO226" s="87"/>
      <c r="AP226" s="87"/>
      <c r="AQ226" s="87"/>
      <c r="AR226" s="87"/>
      <c r="AS226" s="87"/>
      <c r="AT226" s="87"/>
      <c r="AU226" s="87"/>
      <c r="AV226" s="87"/>
      <c r="AW226" s="87"/>
      <c r="AX226" s="87"/>
      <c r="AY226" s="87"/>
      <c r="AZ226" s="87"/>
      <c r="BA226" s="87"/>
      <c r="BB226" s="87"/>
      <c r="BC226" s="87"/>
      <c r="BD226" s="87"/>
      <c r="BE226" s="87"/>
      <c r="BF226" s="87"/>
      <c r="BG226" s="87"/>
      <c r="BH226" s="87"/>
    </row>
    <row r="227" spans="1:60" x14ac:dyDescent="0.25">
      <c r="A227" s="87"/>
      <c r="J227" s="87"/>
      <c r="K227" s="87"/>
      <c r="L227" s="87"/>
      <c r="M227" s="87"/>
      <c r="N227" s="87"/>
      <c r="O227" s="87"/>
      <c r="P227" s="87"/>
      <c r="Q227" s="87"/>
      <c r="R227" s="87"/>
      <c r="S227" s="87"/>
      <c r="T227" s="87"/>
      <c r="U227" s="87"/>
      <c r="V227" s="87"/>
      <c r="W227" s="87"/>
      <c r="X227" s="87"/>
      <c r="Y227" s="87"/>
      <c r="Z227" s="87"/>
      <c r="AA227" s="87"/>
      <c r="AB227" s="87"/>
      <c r="AC227" s="87"/>
      <c r="AD227" s="87"/>
      <c r="AE227" s="87"/>
      <c r="AF227" s="87"/>
      <c r="AG227" s="87"/>
      <c r="AH227" s="87"/>
      <c r="AI227" s="87"/>
      <c r="AJ227" s="87"/>
      <c r="AK227" s="87"/>
      <c r="AL227" s="87"/>
      <c r="AM227" s="87"/>
      <c r="AN227" s="87"/>
      <c r="AO227" s="87"/>
      <c r="AP227" s="87"/>
      <c r="AQ227" s="87"/>
      <c r="AR227" s="87"/>
      <c r="AS227" s="87"/>
      <c r="AT227" s="87"/>
      <c r="AU227" s="87"/>
      <c r="AV227" s="87"/>
      <c r="AW227" s="87"/>
      <c r="AX227" s="87"/>
      <c r="AY227" s="87"/>
      <c r="AZ227" s="87"/>
      <c r="BA227" s="87"/>
      <c r="BB227" s="87"/>
      <c r="BC227" s="87"/>
      <c r="BD227" s="87"/>
      <c r="BE227" s="87"/>
      <c r="BF227" s="87"/>
      <c r="BG227" s="87"/>
      <c r="BH227" s="87"/>
    </row>
    <row r="228" spans="1:60" x14ac:dyDescent="0.25">
      <c r="A228" s="87"/>
      <c r="J228" s="87"/>
      <c r="K228" s="87"/>
      <c r="L228" s="87"/>
      <c r="M228" s="87"/>
      <c r="N228" s="87"/>
      <c r="O228" s="87"/>
      <c r="P228" s="87"/>
      <c r="Q228" s="87"/>
      <c r="R228" s="87"/>
      <c r="S228" s="87"/>
      <c r="T228" s="87"/>
      <c r="U228" s="87"/>
      <c r="V228" s="87"/>
      <c r="W228" s="87"/>
      <c r="X228" s="87"/>
      <c r="Y228" s="87"/>
      <c r="Z228" s="87"/>
      <c r="AA228" s="87"/>
      <c r="AB228" s="87"/>
      <c r="AC228" s="87"/>
      <c r="AD228" s="87"/>
      <c r="AE228" s="87"/>
      <c r="AF228" s="87"/>
      <c r="AG228" s="87"/>
      <c r="AH228" s="87"/>
      <c r="AI228" s="87"/>
      <c r="AJ228" s="87"/>
      <c r="AK228" s="87"/>
      <c r="AL228" s="87"/>
      <c r="AM228" s="87"/>
      <c r="AN228" s="87"/>
      <c r="AO228" s="87"/>
      <c r="AP228" s="87"/>
      <c r="AQ228" s="87"/>
      <c r="AR228" s="87"/>
      <c r="AS228" s="87"/>
      <c r="AT228" s="87"/>
      <c r="AU228" s="87"/>
      <c r="AV228" s="87"/>
      <c r="AW228" s="87"/>
      <c r="AX228" s="87"/>
      <c r="AY228" s="87"/>
      <c r="AZ228" s="87"/>
      <c r="BA228" s="87"/>
      <c r="BB228" s="87"/>
      <c r="BC228" s="87"/>
      <c r="BD228" s="87"/>
      <c r="BE228" s="87"/>
      <c r="BF228" s="87"/>
      <c r="BG228" s="87"/>
      <c r="BH228" s="87"/>
    </row>
    <row r="229" spans="1:60" x14ac:dyDescent="0.25">
      <c r="A229" s="87"/>
      <c r="J229" s="87"/>
      <c r="K229" s="87"/>
      <c r="L229" s="87"/>
      <c r="M229" s="87"/>
      <c r="N229" s="87"/>
      <c r="O229" s="87"/>
      <c r="P229" s="87"/>
      <c r="Q229" s="87"/>
      <c r="R229" s="87"/>
      <c r="S229" s="87"/>
      <c r="T229" s="87"/>
      <c r="U229" s="87"/>
      <c r="V229" s="87"/>
      <c r="W229" s="87"/>
      <c r="X229" s="87"/>
      <c r="Y229" s="87"/>
      <c r="Z229" s="87"/>
      <c r="AA229" s="87"/>
      <c r="AB229" s="87"/>
      <c r="AC229" s="87"/>
      <c r="AD229" s="87"/>
      <c r="AE229" s="87"/>
      <c r="AF229" s="87"/>
      <c r="AG229" s="87"/>
      <c r="AH229" s="87"/>
      <c r="AI229" s="87"/>
      <c r="AJ229" s="87"/>
      <c r="AK229" s="87"/>
      <c r="AL229" s="87"/>
      <c r="AM229" s="87"/>
      <c r="AN229" s="87"/>
      <c r="AO229" s="87"/>
      <c r="AP229" s="87"/>
      <c r="AQ229" s="87"/>
      <c r="AR229" s="87"/>
      <c r="AS229" s="87"/>
      <c r="AT229" s="87"/>
      <c r="AU229" s="87"/>
      <c r="AV229" s="87"/>
      <c r="AW229" s="87"/>
      <c r="AX229" s="87"/>
      <c r="AY229" s="87"/>
      <c r="AZ229" s="87"/>
      <c r="BA229" s="87"/>
      <c r="BB229" s="87"/>
      <c r="BC229" s="87"/>
      <c r="BD229" s="87"/>
      <c r="BE229" s="87"/>
      <c r="BF229" s="87"/>
      <c r="BG229" s="87"/>
      <c r="BH229" s="87"/>
    </row>
    <row r="230" spans="1:60" x14ac:dyDescent="0.25">
      <c r="A230" s="87"/>
      <c r="J230" s="87"/>
      <c r="K230" s="87"/>
      <c r="L230" s="87"/>
      <c r="M230" s="87"/>
      <c r="N230" s="87"/>
      <c r="O230" s="87"/>
      <c r="P230" s="87"/>
      <c r="Q230" s="87"/>
      <c r="R230" s="87"/>
      <c r="S230" s="87"/>
      <c r="T230" s="87"/>
      <c r="U230" s="87"/>
      <c r="V230" s="87"/>
      <c r="W230" s="87"/>
      <c r="X230" s="87"/>
      <c r="Y230" s="87"/>
      <c r="Z230" s="87"/>
      <c r="AA230" s="87"/>
      <c r="AB230" s="87"/>
      <c r="AC230" s="87"/>
      <c r="AD230" s="87"/>
      <c r="AE230" s="87"/>
      <c r="AF230" s="87"/>
      <c r="AG230" s="87"/>
      <c r="AH230" s="87"/>
      <c r="AI230" s="87"/>
      <c r="AJ230" s="87"/>
      <c r="AK230" s="87"/>
      <c r="AL230" s="87"/>
      <c r="AM230" s="87"/>
      <c r="AN230" s="87"/>
      <c r="AO230" s="87"/>
      <c r="AP230" s="87"/>
      <c r="AQ230" s="87"/>
      <c r="AR230" s="87"/>
      <c r="AS230" s="87"/>
      <c r="AT230" s="87"/>
      <c r="AU230" s="87"/>
      <c r="AV230" s="87"/>
      <c r="AW230" s="87"/>
      <c r="AX230" s="87"/>
      <c r="AY230" s="87"/>
      <c r="AZ230" s="87"/>
      <c r="BA230" s="87"/>
      <c r="BB230" s="87"/>
      <c r="BC230" s="87"/>
      <c r="BD230" s="87"/>
      <c r="BE230" s="87"/>
      <c r="BF230" s="87"/>
      <c r="BG230" s="87"/>
      <c r="BH230" s="87"/>
    </row>
    <row r="231" spans="1:60" x14ac:dyDescent="0.25">
      <c r="A231" s="87"/>
      <c r="J231" s="87"/>
      <c r="K231" s="87"/>
      <c r="L231" s="87"/>
      <c r="M231" s="87"/>
      <c r="N231" s="87"/>
      <c r="O231" s="87"/>
      <c r="P231" s="87"/>
      <c r="Q231" s="87"/>
      <c r="R231" s="87"/>
      <c r="S231" s="87"/>
      <c r="T231" s="87"/>
      <c r="U231" s="87"/>
      <c r="V231" s="87"/>
      <c r="W231" s="87"/>
      <c r="X231" s="87"/>
      <c r="Y231" s="87"/>
      <c r="Z231" s="87"/>
      <c r="AA231" s="87"/>
      <c r="AB231" s="87"/>
      <c r="AC231" s="87"/>
      <c r="AD231" s="87"/>
      <c r="AE231" s="87"/>
      <c r="AF231" s="87"/>
      <c r="AG231" s="87"/>
      <c r="AH231" s="87"/>
      <c r="AI231" s="87"/>
      <c r="AJ231" s="87"/>
      <c r="AK231" s="87"/>
      <c r="AL231" s="87"/>
      <c r="AM231" s="87"/>
      <c r="AN231" s="87"/>
      <c r="AO231" s="87"/>
      <c r="AP231" s="87"/>
      <c r="AQ231" s="87"/>
      <c r="AR231" s="87"/>
      <c r="AS231" s="87"/>
      <c r="AT231" s="87"/>
      <c r="AU231" s="87"/>
      <c r="AV231" s="87"/>
      <c r="AW231" s="87"/>
      <c r="AX231" s="87"/>
      <c r="AY231" s="87"/>
      <c r="AZ231" s="87"/>
      <c r="BA231" s="87"/>
      <c r="BB231" s="87"/>
      <c r="BC231" s="87"/>
      <c r="BD231" s="87"/>
      <c r="BE231" s="87"/>
      <c r="BF231" s="87"/>
      <c r="BG231" s="87"/>
      <c r="BH231" s="87"/>
    </row>
    <row r="232" spans="1:60" x14ac:dyDescent="0.25">
      <c r="A232" s="87"/>
      <c r="J232" s="87"/>
      <c r="K232" s="87"/>
      <c r="L232" s="87"/>
      <c r="M232" s="87"/>
      <c r="N232" s="87"/>
      <c r="O232" s="87"/>
      <c r="P232" s="87"/>
      <c r="Q232" s="87"/>
      <c r="R232" s="87"/>
      <c r="S232" s="87"/>
      <c r="T232" s="87"/>
      <c r="U232" s="87"/>
      <c r="V232" s="87"/>
      <c r="W232" s="87"/>
      <c r="X232" s="87"/>
      <c r="Y232" s="87"/>
      <c r="Z232" s="87"/>
      <c r="AA232" s="87"/>
      <c r="AB232" s="87"/>
      <c r="AC232" s="87"/>
      <c r="AD232" s="87"/>
      <c r="AE232" s="87"/>
      <c r="AF232" s="87"/>
      <c r="AG232" s="87"/>
      <c r="AH232" s="87"/>
      <c r="AI232" s="87"/>
      <c r="AJ232" s="87"/>
      <c r="AK232" s="87"/>
      <c r="AL232" s="87"/>
      <c r="AM232" s="87"/>
      <c r="AN232" s="87"/>
      <c r="AO232" s="87"/>
      <c r="AP232" s="87"/>
      <c r="AQ232" s="87"/>
      <c r="AR232" s="87"/>
      <c r="AS232" s="87"/>
      <c r="AT232" s="87"/>
      <c r="AU232" s="87"/>
      <c r="AV232" s="87"/>
      <c r="AW232" s="87"/>
      <c r="AX232" s="87"/>
      <c r="AY232" s="87"/>
      <c r="AZ232" s="87"/>
      <c r="BA232" s="87"/>
      <c r="BB232" s="87"/>
      <c r="BC232" s="87"/>
      <c r="BD232" s="87"/>
      <c r="BE232" s="87"/>
      <c r="BF232" s="87"/>
      <c r="BG232" s="87"/>
      <c r="BH232" s="87"/>
    </row>
    <row r="233" spans="1:60" x14ac:dyDescent="0.25">
      <c r="A233" s="87"/>
      <c r="J233" s="87"/>
      <c r="K233" s="87"/>
      <c r="L233" s="87"/>
      <c r="M233" s="87"/>
      <c r="N233" s="87"/>
      <c r="O233" s="87"/>
      <c r="P233" s="87"/>
      <c r="Q233" s="87"/>
      <c r="R233" s="87"/>
      <c r="S233" s="87"/>
      <c r="T233" s="87"/>
      <c r="U233" s="87"/>
      <c r="V233" s="87"/>
      <c r="W233" s="87"/>
      <c r="X233" s="87"/>
      <c r="Y233" s="87"/>
      <c r="Z233" s="87"/>
      <c r="AA233" s="87"/>
      <c r="AB233" s="87"/>
      <c r="AC233" s="87"/>
      <c r="AD233" s="87"/>
      <c r="AE233" s="87"/>
      <c r="AF233" s="87"/>
      <c r="AG233" s="87"/>
      <c r="AH233" s="87"/>
      <c r="AI233" s="87"/>
      <c r="AJ233" s="87"/>
      <c r="AK233" s="87"/>
      <c r="AL233" s="87"/>
      <c r="AM233" s="87"/>
      <c r="AN233" s="87"/>
      <c r="AO233" s="87"/>
      <c r="AP233" s="87"/>
      <c r="AQ233" s="87"/>
      <c r="AR233" s="87"/>
      <c r="AS233" s="87"/>
      <c r="AT233" s="87"/>
      <c r="AU233" s="87"/>
      <c r="AV233" s="87"/>
      <c r="AW233" s="87"/>
      <c r="AX233" s="87"/>
      <c r="AY233" s="87"/>
      <c r="AZ233" s="87"/>
      <c r="BA233" s="87"/>
      <c r="BB233" s="87"/>
      <c r="BC233" s="87"/>
      <c r="BD233" s="87"/>
      <c r="BE233" s="87"/>
      <c r="BF233" s="87"/>
      <c r="BG233" s="87"/>
      <c r="BH233" s="87"/>
    </row>
    <row r="234" spans="1:60" x14ac:dyDescent="0.25">
      <c r="A234" s="87"/>
      <c r="J234" s="87"/>
      <c r="K234" s="87"/>
      <c r="L234" s="87"/>
      <c r="M234" s="87"/>
      <c r="N234" s="87"/>
      <c r="O234" s="87"/>
      <c r="P234" s="87"/>
      <c r="Q234" s="87"/>
      <c r="R234" s="87"/>
      <c r="S234" s="87"/>
      <c r="T234" s="87"/>
      <c r="U234" s="87"/>
      <c r="V234" s="87"/>
      <c r="W234" s="87"/>
      <c r="X234" s="87"/>
      <c r="Y234" s="87"/>
      <c r="Z234" s="87"/>
      <c r="AA234" s="87"/>
      <c r="AB234" s="87"/>
      <c r="AC234" s="87"/>
      <c r="AD234" s="87"/>
      <c r="AE234" s="87"/>
      <c r="AF234" s="87"/>
      <c r="AG234" s="87"/>
      <c r="AH234" s="87"/>
      <c r="AI234" s="87"/>
      <c r="AJ234" s="87"/>
      <c r="AK234" s="87"/>
      <c r="AL234" s="87"/>
      <c r="AM234" s="87"/>
      <c r="AN234" s="87"/>
      <c r="AO234" s="87"/>
      <c r="AP234" s="87"/>
      <c r="AQ234" s="87"/>
      <c r="AR234" s="87"/>
      <c r="AS234" s="87"/>
      <c r="AT234" s="87"/>
      <c r="AU234" s="87"/>
      <c r="AV234" s="87"/>
      <c r="AW234" s="87"/>
      <c r="AX234" s="87"/>
      <c r="AY234" s="87"/>
      <c r="AZ234" s="87"/>
      <c r="BA234" s="87"/>
      <c r="BB234" s="87"/>
      <c r="BC234" s="87"/>
      <c r="BD234" s="87"/>
      <c r="BE234" s="87"/>
      <c r="BF234" s="87"/>
      <c r="BG234" s="87"/>
      <c r="BH234" s="87"/>
    </row>
    <row r="235" spans="1:60" x14ac:dyDescent="0.25">
      <c r="A235" s="87"/>
      <c r="J235" s="87"/>
      <c r="K235" s="87"/>
      <c r="L235" s="87"/>
      <c r="M235" s="87"/>
      <c r="N235" s="87"/>
      <c r="O235" s="87"/>
      <c r="P235" s="87"/>
      <c r="Q235" s="87"/>
      <c r="R235" s="87"/>
      <c r="S235" s="87"/>
      <c r="T235" s="87"/>
      <c r="U235" s="87"/>
      <c r="V235" s="87"/>
      <c r="W235" s="87"/>
      <c r="X235" s="87"/>
      <c r="Y235" s="87"/>
      <c r="Z235" s="87"/>
      <c r="AA235" s="87"/>
      <c r="AB235" s="87"/>
      <c r="AC235" s="87"/>
      <c r="AD235" s="87"/>
      <c r="AE235" s="87"/>
      <c r="AF235" s="87"/>
      <c r="AG235" s="87"/>
      <c r="AH235" s="87"/>
      <c r="AI235" s="87"/>
      <c r="AJ235" s="87"/>
      <c r="AK235" s="87"/>
      <c r="AL235" s="87"/>
      <c r="AM235" s="87"/>
      <c r="AN235" s="87"/>
      <c r="AO235" s="87"/>
      <c r="AP235" s="87"/>
      <c r="AQ235" s="87"/>
      <c r="AR235" s="87"/>
      <c r="AS235" s="87"/>
      <c r="AT235" s="87"/>
      <c r="AU235" s="87"/>
      <c r="AV235" s="87"/>
      <c r="AW235" s="87"/>
      <c r="AX235" s="87"/>
      <c r="AY235" s="87"/>
      <c r="AZ235" s="87"/>
      <c r="BA235" s="87"/>
      <c r="BB235" s="87"/>
      <c r="BC235" s="87"/>
      <c r="BD235" s="87"/>
      <c r="BE235" s="87"/>
      <c r="BF235" s="87"/>
      <c r="BG235" s="87"/>
      <c r="BH235" s="87"/>
    </row>
    <row r="236" spans="1:60" x14ac:dyDescent="0.25">
      <c r="A236" s="87"/>
      <c r="J236" s="87"/>
      <c r="K236" s="87"/>
      <c r="L236" s="87"/>
      <c r="M236" s="87"/>
      <c r="N236" s="87"/>
      <c r="O236" s="87"/>
      <c r="P236" s="87"/>
      <c r="Q236" s="87"/>
      <c r="R236" s="87"/>
      <c r="S236" s="87"/>
      <c r="T236" s="87"/>
      <c r="U236" s="87"/>
      <c r="V236" s="87"/>
      <c r="W236" s="87"/>
      <c r="X236" s="87"/>
      <c r="Y236" s="87"/>
      <c r="Z236" s="87"/>
      <c r="AA236" s="87"/>
      <c r="AB236" s="87"/>
      <c r="AC236" s="87"/>
      <c r="AD236" s="87"/>
      <c r="AE236" s="87"/>
      <c r="AF236" s="87"/>
      <c r="AG236" s="87"/>
      <c r="AH236" s="87"/>
      <c r="AI236" s="87"/>
      <c r="AJ236" s="87"/>
      <c r="AK236" s="87"/>
      <c r="AL236" s="87"/>
      <c r="AM236" s="87"/>
      <c r="AN236" s="87"/>
      <c r="AO236" s="87"/>
      <c r="AP236" s="87"/>
      <c r="AQ236" s="87"/>
      <c r="AR236" s="87"/>
      <c r="AS236" s="87"/>
      <c r="AT236" s="87"/>
      <c r="AU236" s="87"/>
      <c r="AV236" s="87"/>
      <c r="AW236" s="87"/>
      <c r="AX236" s="87"/>
      <c r="AY236" s="87"/>
      <c r="AZ236" s="87"/>
      <c r="BA236" s="87"/>
      <c r="BB236" s="87"/>
      <c r="BC236" s="87"/>
      <c r="BD236" s="87"/>
      <c r="BE236" s="87"/>
      <c r="BF236" s="87"/>
      <c r="BG236" s="87"/>
      <c r="BH236" s="87"/>
    </row>
    <row r="237" spans="1:60" x14ac:dyDescent="0.25">
      <c r="A237" s="87"/>
      <c r="J237" s="87"/>
      <c r="K237" s="87"/>
      <c r="L237" s="87"/>
      <c r="M237" s="87"/>
      <c r="N237" s="87"/>
      <c r="O237" s="87"/>
      <c r="P237" s="87"/>
      <c r="Q237" s="87"/>
      <c r="R237" s="87"/>
      <c r="S237" s="87"/>
      <c r="T237" s="87"/>
      <c r="U237" s="87"/>
      <c r="V237" s="87"/>
      <c r="W237" s="87"/>
      <c r="X237" s="87"/>
      <c r="Y237" s="87"/>
      <c r="Z237" s="87"/>
      <c r="AA237" s="87"/>
      <c r="AB237" s="87"/>
      <c r="AC237" s="87"/>
      <c r="AD237" s="87"/>
      <c r="AE237" s="87"/>
      <c r="AF237" s="87"/>
      <c r="AG237" s="87"/>
      <c r="AH237" s="87"/>
      <c r="AI237" s="87"/>
      <c r="AJ237" s="87"/>
      <c r="AK237" s="87"/>
      <c r="AL237" s="87"/>
      <c r="AM237" s="87"/>
      <c r="AN237" s="87"/>
      <c r="AO237" s="87"/>
      <c r="AP237" s="87"/>
      <c r="AQ237" s="87"/>
      <c r="AR237" s="87"/>
      <c r="AS237" s="87"/>
      <c r="AT237" s="87"/>
      <c r="AU237" s="87"/>
      <c r="AV237" s="87"/>
      <c r="AW237" s="87"/>
      <c r="AX237" s="87"/>
      <c r="AY237" s="87"/>
      <c r="AZ237" s="87"/>
      <c r="BA237" s="87"/>
      <c r="BB237" s="87"/>
      <c r="BC237" s="87"/>
      <c r="BD237" s="87"/>
      <c r="BE237" s="87"/>
      <c r="BF237" s="87"/>
      <c r="BG237" s="87"/>
      <c r="BH237" s="87"/>
    </row>
    <row r="238" spans="1:60" x14ac:dyDescent="0.25">
      <c r="A238" s="87"/>
      <c r="J238" s="87"/>
      <c r="K238" s="87"/>
      <c r="L238" s="87"/>
      <c r="M238" s="87"/>
      <c r="N238" s="87"/>
      <c r="O238" s="87"/>
      <c r="P238" s="87"/>
      <c r="Q238" s="87"/>
      <c r="R238" s="87"/>
      <c r="S238" s="87"/>
      <c r="T238" s="87"/>
      <c r="U238" s="87"/>
      <c r="V238" s="87"/>
      <c r="W238" s="87"/>
      <c r="X238" s="87"/>
      <c r="Y238" s="87"/>
      <c r="Z238" s="87"/>
      <c r="AA238" s="87"/>
      <c r="AB238" s="87"/>
      <c r="AC238" s="87"/>
      <c r="AD238" s="87"/>
      <c r="AE238" s="87"/>
      <c r="AF238" s="87"/>
      <c r="AG238" s="87"/>
      <c r="AH238" s="87"/>
      <c r="AI238" s="87"/>
      <c r="AJ238" s="87"/>
      <c r="AK238" s="87"/>
      <c r="AL238" s="87"/>
      <c r="AM238" s="87"/>
      <c r="AN238" s="87"/>
      <c r="AO238" s="87"/>
      <c r="AP238" s="87"/>
      <c r="AQ238" s="87"/>
      <c r="AR238" s="87"/>
      <c r="AS238" s="87"/>
      <c r="AT238" s="87"/>
      <c r="AU238" s="87"/>
      <c r="AV238" s="87"/>
      <c r="AW238" s="87"/>
      <c r="AX238" s="87"/>
      <c r="AY238" s="87"/>
      <c r="AZ238" s="87"/>
      <c r="BA238" s="87"/>
      <c r="BB238" s="87"/>
      <c r="BC238" s="87"/>
      <c r="BD238" s="87"/>
      <c r="BE238" s="87"/>
      <c r="BF238" s="87"/>
      <c r="BG238" s="87"/>
      <c r="BH238" s="87"/>
    </row>
    <row r="239" spans="1:60" x14ac:dyDescent="0.25">
      <c r="A239" s="87"/>
      <c r="J239" s="87"/>
      <c r="K239" s="87"/>
      <c r="L239" s="87"/>
      <c r="M239" s="87"/>
      <c r="N239" s="87"/>
      <c r="O239" s="87"/>
      <c r="P239" s="87"/>
      <c r="Q239" s="87"/>
      <c r="R239" s="87"/>
      <c r="S239" s="87"/>
      <c r="T239" s="87"/>
      <c r="U239" s="87"/>
      <c r="V239" s="87"/>
      <c r="W239" s="87"/>
      <c r="X239" s="87"/>
      <c r="Y239" s="87"/>
      <c r="Z239" s="87"/>
      <c r="AA239" s="87"/>
      <c r="AB239" s="87"/>
      <c r="AC239" s="87"/>
      <c r="AD239" s="87"/>
      <c r="AE239" s="87"/>
      <c r="AF239" s="87"/>
      <c r="AG239" s="87"/>
      <c r="AH239" s="87"/>
      <c r="AI239" s="87"/>
      <c r="AJ239" s="87"/>
      <c r="AK239" s="87"/>
      <c r="AL239" s="87"/>
      <c r="AM239" s="87"/>
      <c r="AN239" s="87"/>
      <c r="AO239" s="87"/>
      <c r="AP239" s="87"/>
      <c r="AQ239" s="87"/>
      <c r="AR239" s="87"/>
      <c r="AS239" s="87"/>
      <c r="AT239" s="87"/>
      <c r="AU239" s="87"/>
      <c r="AV239" s="87"/>
      <c r="AW239" s="87"/>
      <c r="AX239" s="87"/>
      <c r="AY239" s="87"/>
      <c r="AZ239" s="87"/>
      <c r="BA239" s="87"/>
      <c r="BB239" s="87"/>
      <c r="BC239" s="87"/>
      <c r="BD239" s="87"/>
      <c r="BE239" s="87"/>
      <c r="BF239" s="87"/>
      <c r="BG239" s="87"/>
      <c r="BH239" s="87"/>
    </row>
    <row r="240" spans="1:60" x14ac:dyDescent="0.25">
      <c r="A240" s="87"/>
      <c r="J240" s="87"/>
      <c r="K240" s="87"/>
      <c r="L240" s="87"/>
      <c r="M240" s="87"/>
      <c r="N240" s="87"/>
      <c r="O240" s="87"/>
      <c r="P240" s="87"/>
      <c r="Q240" s="87"/>
      <c r="R240" s="87"/>
      <c r="S240" s="87"/>
      <c r="T240" s="87"/>
      <c r="U240" s="87"/>
      <c r="V240" s="87"/>
      <c r="W240" s="87"/>
      <c r="X240" s="87"/>
      <c r="Y240" s="87"/>
      <c r="Z240" s="87"/>
      <c r="AA240" s="87"/>
      <c r="AB240" s="87"/>
      <c r="AC240" s="87"/>
      <c r="AD240" s="87"/>
      <c r="AE240" s="87"/>
      <c r="AF240" s="87"/>
      <c r="AG240" s="87"/>
      <c r="AH240" s="87"/>
      <c r="AI240" s="87"/>
      <c r="AJ240" s="87"/>
      <c r="AK240" s="87"/>
      <c r="AL240" s="87"/>
      <c r="AM240" s="87"/>
      <c r="AN240" s="87"/>
      <c r="AO240" s="87"/>
      <c r="AP240" s="87"/>
      <c r="AQ240" s="87"/>
      <c r="AR240" s="87"/>
      <c r="AS240" s="87"/>
      <c r="AT240" s="87"/>
      <c r="AU240" s="87"/>
      <c r="AV240" s="87"/>
      <c r="AW240" s="87"/>
      <c r="AX240" s="87"/>
      <c r="AY240" s="87"/>
      <c r="AZ240" s="87"/>
      <c r="BA240" s="87"/>
      <c r="BB240" s="87"/>
      <c r="BC240" s="87"/>
      <c r="BD240" s="87"/>
      <c r="BE240" s="87"/>
      <c r="BF240" s="87"/>
      <c r="BG240" s="87"/>
      <c r="BH240" s="87"/>
    </row>
    <row r="241" spans="1:60" x14ac:dyDescent="0.25">
      <c r="A241" s="87"/>
      <c r="J241" s="87"/>
      <c r="K241" s="87"/>
      <c r="L241" s="87"/>
      <c r="M241" s="87"/>
      <c r="N241" s="87"/>
      <c r="O241" s="87"/>
      <c r="P241" s="87"/>
      <c r="Q241" s="87"/>
      <c r="R241" s="87"/>
      <c r="S241" s="87"/>
      <c r="T241" s="87"/>
      <c r="U241" s="87"/>
      <c r="V241" s="87"/>
      <c r="W241" s="87"/>
      <c r="X241" s="87"/>
      <c r="Y241" s="87"/>
      <c r="Z241" s="87"/>
      <c r="AA241" s="87"/>
      <c r="AB241" s="87"/>
      <c r="AC241" s="87"/>
      <c r="AD241" s="87"/>
      <c r="AE241" s="87"/>
      <c r="AF241" s="87"/>
      <c r="AG241" s="87"/>
      <c r="AH241" s="87"/>
      <c r="AI241" s="87"/>
      <c r="AJ241" s="87"/>
      <c r="AK241" s="87"/>
      <c r="AL241" s="87"/>
      <c r="AM241" s="87"/>
      <c r="AN241" s="87"/>
      <c r="AO241" s="87"/>
      <c r="AP241" s="87"/>
      <c r="AQ241" s="87"/>
      <c r="AR241" s="87"/>
      <c r="AS241" s="87"/>
      <c r="AT241" s="87"/>
      <c r="AU241" s="87"/>
      <c r="AV241" s="87"/>
      <c r="AW241" s="87"/>
      <c r="AX241" s="87"/>
      <c r="AY241" s="87"/>
      <c r="AZ241" s="87"/>
      <c r="BA241" s="87"/>
      <c r="BB241" s="87"/>
      <c r="BC241" s="87"/>
      <c r="BD241" s="87"/>
      <c r="BE241" s="87"/>
      <c r="BF241" s="87"/>
      <c r="BG241" s="87"/>
      <c r="BH241" s="87"/>
    </row>
    <row r="242" spans="1:60" x14ac:dyDescent="0.25">
      <c r="A242" s="87"/>
      <c r="J242" s="87"/>
      <c r="K242" s="87"/>
      <c r="L242" s="87"/>
      <c r="M242" s="87"/>
      <c r="N242" s="87"/>
      <c r="O242" s="87"/>
      <c r="P242" s="87"/>
      <c r="Q242" s="87"/>
      <c r="R242" s="87"/>
      <c r="S242" s="87"/>
      <c r="T242" s="87"/>
      <c r="U242" s="87"/>
      <c r="V242" s="87"/>
      <c r="W242" s="87"/>
      <c r="X242" s="87"/>
      <c r="Y242" s="87"/>
      <c r="Z242" s="87"/>
      <c r="AA242" s="87"/>
      <c r="AB242" s="87"/>
      <c r="AC242" s="87"/>
      <c r="AD242" s="87"/>
      <c r="AE242" s="87"/>
      <c r="AF242" s="87"/>
      <c r="AG242" s="87"/>
      <c r="AH242" s="87"/>
      <c r="AI242" s="87"/>
      <c r="AJ242" s="87"/>
      <c r="AK242" s="87"/>
      <c r="AL242" s="87"/>
      <c r="AM242" s="87"/>
      <c r="AN242" s="87"/>
      <c r="AO242" s="87"/>
      <c r="AP242" s="87"/>
      <c r="AQ242" s="87"/>
      <c r="AR242" s="87"/>
      <c r="AS242" s="87"/>
      <c r="AT242" s="87"/>
      <c r="AU242" s="87"/>
      <c r="AV242" s="87"/>
      <c r="AW242" s="87"/>
      <c r="AX242" s="87"/>
      <c r="AY242" s="87"/>
      <c r="AZ242" s="87"/>
      <c r="BA242" s="87"/>
      <c r="BB242" s="87"/>
      <c r="BC242" s="87"/>
      <c r="BD242" s="87"/>
      <c r="BE242" s="87"/>
      <c r="BF242" s="87"/>
      <c r="BG242" s="87"/>
      <c r="BH242" s="87"/>
    </row>
    <row r="243" spans="1:60" x14ac:dyDescent="0.25">
      <c r="A243" s="87"/>
      <c r="J243" s="87"/>
      <c r="K243" s="87"/>
      <c r="L243" s="87"/>
      <c r="M243" s="87"/>
      <c r="N243" s="87"/>
      <c r="O243" s="87"/>
      <c r="P243" s="87"/>
      <c r="Q243" s="87"/>
      <c r="R243" s="87"/>
      <c r="S243" s="87"/>
      <c r="T243" s="87"/>
      <c r="U243" s="87"/>
      <c r="V243" s="87"/>
      <c r="W243" s="87"/>
      <c r="X243" s="87"/>
      <c r="Y243" s="87"/>
      <c r="Z243" s="87"/>
      <c r="AA243" s="87"/>
      <c r="AB243" s="87"/>
      <c r="AC243" s="87"/>
      <c r="AD243" s="87"/>
      <c r="AE243" s="87"/>
      <c r="AF243" s="87"/>
      <c r="AG243" s="87"/>
      <c r="AH243" s="87"/>
      <c r="AI243" s="87"/>
      <c r="AJ243" s="87"/>
      <c r="AK243" s="87"/>
      <c r="AL243" s="87"/>
      <c r="AM243" s="87"/>
      <c r="AN243" s="87"/>
      <c r="AO243" s="87"/>
      <c r="AP243" s="87"/>
      <c r="AQ243" s="87"/>
      <c r="AR243" s="87"/>
      <c r="AS243" s="87"/>
      <c r="AT243" s="87"/>
      <c r="AU243" s="87"/>
      <c r="AV243" s="87"/>
      <c r="AW243" s="87"/>
      <c r="AX243" s="87"/>
      <c r="AY243" s="87"/>
      <c r="AZ243" s="87"/>
      <c r="BA243" s="87"/>
      <c r="BB243" s="87"/>
      <c r="BC243" s="87"/>
      <c r="BD243" s="87"/>
      <c r="BE243" s="87"/>
      <c r="BF243" s="87"/>
      <c r="BG243" s="87"/>
      <c r="BH243" s="87"/>
    </row>
    <row r="244" spans="1:60" x14ac:dyDescent="0.25">
      <c r="A244" s="87"/>
      <c r="J244" s="87"/>
      <c r="K244" s="87"/>
      <c r="L244" s="87"/>
      <c r="M244" s="87"/>
      <c r="N244" s="87"/>
      <c r="O244" s="87"/>
      <c r="P244" s="87"/>
      <c r="Q244" s="87"/>
      <c r="R244" s="87"/>
      <c r="S244" s="87"/>
      <c r="T244" s="87"/>
      <c r="U244" s="87"/>
      <c r="V244" s="87"/>
      <c r="W244" s="87"/>
      <c r="X244" s="87"/>
      <c r="Y244" s="87"/>
      <c r="Z244" s="87"/>
      <c r="AA244" s="87"/>
      <c r="AB244" s="87"/>
      <c r="AC244" s="87"/>
      <c r="AD244" s="87"/>
      <c r="AE244" s="87"/>
      <c r="AF244" s="87"/>
      <c r="AG244" s="87"/>
      <c r="AH244" s="87"/>
      <c r="AI244" s="87"/>
      <c r="AJ244" s="87"/>
      <c r="AK244" s="87"/>
      <c r="AL244" s="87"/>
      <c r="AM244" s="87"/>
      <c r="AN244" s="87"/>
      <c r="AO244" s="87"/>
      <c r="AP244" s="87"/>
      <c r="AQ244" s="87"/>
      <c r="AR244" s="87"/>
      <c r="AS244" s="87"/>
      <c r="AT244" s="87"/>
      <c r="AU244" s="87"/>
      <c r="AV244" s="87"/>
      <c r="AW244" s="87"/>
      <c r="AX244" s="87"/>
      <c r="AY244" s="87"/>
      <c r="AZ244" s="87"/>
      <c r="BA244" s="87"/>
      <c r="BB244" s="87"/>
      <c r="BC244" s="87"/>
      <c r="BD244" s="87"/>
      <c r="BE244" s="87"/>
      <c r="BF244" s="87"/>
      <c r="BG244" s="87"/>
      <c r="BH244" s="87"/>
    </row>
    <row r="245" spans="1:60" x14ac:dyDescent="0.25">
      <c r="A245" s="87"/>
    </row>
    <row r="246" spans="1:60" x14ac:dyDescent="0.25">
      <c r="A246" s="87"/>
    </row>
    <row r="247" spans="1:60" x14ac:dyDescent="0.25">
      <c r="A247" s="87"/>
    </row>
    <row r="248" spans="1:60" x14ac:dyDescent="0.25">
      <c r="A248" s="87"/>
    </row>
  </sheetData>
  <mergeCells count="17">
    <mergeCell ref="J56:O61"/>
    <mergeCell ref="P56:U61"/>
    <mergeCell ref="V56:AA61"/>
    <mergeCell ref="AB56:AG61"/>
    <mergeCell ref="AH56:AM61"/>
    <mergeCell ref="AO16:AT25"/>
    <mergeCell ref="E16:I25"/>
    <mergeCell ref="AO6:AT15"/>
    <mergeCell ref="B2:I4"/>
    <mergeCell ref="J2:AM4"/>
    <mergeCell ref="B6:D55"/>
    <mergeCell ref="E6:I15"/>
    <mergeCell ref="E46:I55"/>
    <mergeCell ref="AO36:AT45"/>
    <mergeCell ref="E36:I45"/>
    <mergeCell ref="AO26:AT35"/>
    <mergeCell ref="E26:I35"/>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K55"/>
  <sheetViews>
    <sheetView zoomScale="90" zoomScaleNormal="90" workbookViewId="0">
      <selection activeCell="C7" sqref="C7"/>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87"/>
      <c r="B1" s="830" t="s">
        <v>474</v>
      </c>
      <c r="C1" s="830"/>
      <c r="D1" s="830"/>
      <c r="E1" s="87"/>
      <c r="F1" s="87"/>
      <c r="G1" s="87"/>
      <c r="H1" s="87"/>
      <c r="I1" s="87"/>
      <c r="J1" s="87"/>
      <c r="K1" s="87"/>
      <c r="L1" s="87"/>
      <c r="M1" s="87"/>
      <c r="N1" s="87"/>
      <c r="O1" s="87"/>
      <c r="P1" s="87"/>
      <c r="Q1" s="87"/>
      <c r="R1" s="87"/>
      <c r="S1" s="87"/>
      <c r="T1" s="87"/>
      <c r="U1" s="87"/>
      <c r="V1" s="87"/>
      <c r="W1" s="87"/>
      <c r="X1" s="87"/>
      <c r="Y1" s="87"/>
      <c r="Z1" s="87"/>
      <c r="AA1" s="87"/>
      <c r="AB1" s="87"/>
      <c r="AC1" s="87"/>
      <c r="AD1" s="87"/>
      <c r="AE1" s="87"/>
    </row>
    <row r="2" spans="1:37" x14ac:dyDescent="0.25">
      <c r="A2" s="87"/>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row>
    <row r="3" spans="1:37" ht="25.5" x14ac:dyDescent="0.25">
      <c r="A3" s="87"/>
      <c r="B3" s="10"/>
      <c r="C3" s="11" t="s">
        <v>475</v>
      </c>
      <c r="D3" s="11" t="s">
        <v>154</v>
      </c>
      <c r="E3" s="87"/>
      <c r="F3" s="87"/>
      <c r="G3" s="87"/>
      <c r="H3" s="87"/>
      <c r="I3" s="87"/>
      <c r="J3" s="87"/>
      <c r="K3" s="87"/>
      <c r="L3" s="87"/>
      <c r="M3" s="87"/>
      <c r="N3" s="87"/>
      <c r="O3" s="87"/>
      <c r="P3" s="87"/>
      <c r="Q3" s="87"/>
      <c r="R3" s="87"/>
      <c r="S3" s="87"/>
      <c r="T3" s="87"/>
      <c r="U3" s="87"/>
      <c r="V3" s="87"/>
      <c r="W3" s="87"/>
      <c r="X3" s="87"/>
      <c r="Y3" s="87"/>
      <c r="Z3" s="87"/>
      <c r="AA3" s="87"/>
      <c r="AB3" s="87"/>
      <c r="AC3" s="87"/>
      <c r="AD3" s="87"/>
      <c r="AE3" s="87"/>
    </row>
    <row r="4" spans="1:37" ht="51" x14ac:dyDescent="0.25">
      <c r="A4" s="87"/>
      <c r="B4" s="12" t="s">
        <v>476</v>
      </c>
      <c r="C4" s="13" t="s">
        <v>477</v>
      </c>
      <c r="D4" s="14">
        <v>0.2</v>
      </c>
      <c r="E4" s="87"/>
      <c r="F4" s="87"/>
      <c r="G4" s="87"/>
      <c r="H4" s="87"/>
      <c r="I4" s="87"/>
      <c r="J4" s="87"/>
      <c r="K4" s="87"/>
      <c r="L4" s="87"/>
      <c r="M4" s="87"/>
      <c r="N4" s="87"/>
      <c r="O4" s="87"/>
      <c r="P4" s="87"/>
      <c r="Q4" s="87"/>
      <c r="R4" s="87"/>
      <c r="S4" s="87"/>
      <c r="T4" s="87"/>
      <c r="U4" s="87"/>
      <c r="V4" s="87"/>
      <c r="W4" s="87"/>
      <c r="X4" s="87"/>
      <c r="Y4" s="87"/>
      <c r="Z4" s="87"/>
      <c r="AA4" s="87"/>
      <c r="AB4" s="87"/>
      <c r="AC4" s="87"/>
      <c r="AD4" s="87"/>
      <c r="AE4" s="87"/>
    </row>
    <row r="5" spans="1:37" ht="51" x14ac:dyDescent="0.25">
      <c r="A5" s="87"/>
      <c r="B5" s="15" t="s">
        <v>394</v>
      </c>
      <c r="C5" s="16" t="s">
        <v>478</v>
      </c>
      <c r="D5" s="17">
        <v>0.4</v>
      </c>
      <c r="E5" s="87"/>
      <c r="F5" s="87"/>
      <c r="G5" s="87"/>
      <c r="H5" s="87"/>
      <c r="I5" s="87"/>
      <c r="J5" s="87"/>
      <c r="K5" s="87"/>
      <c r="L5" s="87"/>
      <c r="M5" s="87"/>
      <c r="N5" s="87"/>
      <c r="O5" s="87"/>
      <c r="P5" s="87"/>
      <c r="Q5" s="87"/>
      <c r="R5" s="87"/>
      <c r="S5" s="87"/>
      <c r="T5" s="87"/>
      <c r="U5" s="87"/>
      <c r="V5" s="87"/>
      <c r="W5" s="87"/>
      <c r="X5" s="87"/>
      <c r="Y5" s="87"/>
      <c r="Z5" s="87"/>
      <c r="AA5" s="87"/>
      <c r="AB5" s="87"/>
      <c r="AC5" s="87"/>
      <c r="AD5" s="87"/>
      <c r="AE5" s="87"/>
    </row>
    <row r="6" spans="1:37" ht="51" x14ac:dyDescent="0.25">
      <c r="A6" s="87"/>
      <c r="B6" s="18" t="s">
        <v>388</v>
      </c>
      <c r="C6" s="16" t="s">
        <v>479</v>
      </c>
      <c r="D6" s="17">
        <v>0.6</v>
      </c>
      <c r="E6" s="87"/>
      <c r="F6" s="87"/>
      <c r="G6" s="87"/>
      <c r="H6" s="87"/>
      <c r="I6" s="87"/>
      <c r="J6" s="87"/>
      <c r="K6" s="87"/>
      <c r="L6" s="87"/>
      <c r="M6" s="87"/>
      <c r="N6" s="87"/>
      <c r="O6" s="87"/>
      <c r="P6" s="87"/>
      <c r="Q6" s="87"/>
      <c r="R6" s="87"/>
      <c r="S6" s="87"/>
      <c r="T6" s="87"/>
      <c r="U6" s="87"/>
      <c r="V6" s="87"/>
      <c r="W6" s="87"/>
      <c r="X6" s="87"/>
      <c r="Y6" s="87"/>
      <c r="Z6" s="87"/>
      <c r="AA6" s="87"/>
      <c r="AB6" s="87"/>
      <c r="AC6" s="87"/>
      <c r="AD6" s="87"/>
      <c r="AE6" s="87"/>
    </row>
    <row r="7" spans="1:37" ht="76.5" x14ac:dyDescent="0.25">
      <c r="A7" s="87"/>
      <c r="B7" s="19" t="s">
        <v>480</v>
      </c>
      <c r="C7" s="16" t="s">
        <v>481</v>
      </c>
      <c r="D7" s="17">
        <v>0.8</v>
      </c>
      <c r="E7" s="87"/>
      <c r="F7" s="87"/>
      <c r="G7" s="87"/>
      <c r="H7" s="87"/>
      <c r="I7" s="87"/>
      <c r="J7" s="87"/>
      <c r="K7" s="87"/>
      <c r="L7" s="87"/>
      <c r="M7" s="87"/>
      <c r="N7" s="87"/>
      <c r="O7" s="87"/>
      <c r="P7" s="87"/>
      <c r="Q7" s="87"/>
      <c r="R7" s="87"/>
      <c r="S7" s="87"/>
      <c r="T7" s="87"/>
      <c r="U7" s="87"/>
      <c r="V7" s="87"/>
      <c r="W7" s="87"/>
      <c r="X7" s="87"/>
      <c r="Y7" s="87"/>
      <c r="Z7" s="87"/>
      <c r="AA7" s="87"/>
      <c r="AB7" s="87"/>
      <c r="AC7" s="87"/>
      <c r="AD7" s="87"/>
      <c r="AE7" s="87"/>
    </row>
    <row r="8" spans="1:37" ht="51" x14ac:dyDescent="0.25">
      <c r="A8" s="87"/>
      <c r="B8" s="20" t="s">
        <v>482</v>
      </c>
      <c r="C8" s="16" t="s">
        <v>483</v>
      </c>
      <c r="D8" s="17">
        <v>1</v>
      </c>
      <c r="E8" s="87"/>
      <c r="F8" s="87"/>
      <c r="G8" s="87"/>
      <c r="H8" s="87"/>
      <c r="I8" s="87"/>
      <c r="J8" s="87"/>
      <c r="K8" s="87"/>
      <c r="L8" s="87"/>
      <c r="M8" s="87"/>
      <c r="N8" s="87"/>
      <c r="O8" s="87"/>
      <c r="P8" s="87"/>
      <c r="Q8" s="87"/>
      <c r="R8" s="87"/>
      <c r="S8" s="87"/>
      <c r="T8" s="87"/>
      <c r="U8" s="87"/>
      <c r="V8" s="87"/>
      <c r="W8" s="87"/>
      <c r="X8" s="87"/>
      <c r="Y8" s="87"/>
      <c r="Z8" s="87"/>
      <c r="AA8" s="87"/>
      <c r="AB8" s="87"/>
      <c r="AC8" s="87"/>
      <c r="AD8" s="87"/>
      <c r="AE8" s="87"/>
    </row>
    <row r="9" spans="1:37" x14ac:dyDescent="0.25">
      <c r="A9" s="87"/>
      <c r="B9" s="107"/>
      <c r="C9" s="107"/>
      <c r="D9" s="107"/>
      <c r="E9" s="87"/>
      <c r="F9" s="87"/>
      <c r="G9" s="87"/>
      <c r="H9" s="87"/>
      <c r="I9" s="87"/>
      <c r="J9" s="87"/>
      <c r="K9" s="87"/>
      <c r="L9" s="87"/>
      <c r="M9" s="87"/>
      <c r="N9" s="87"/>
      <c r="O9" s="87"/>
      <c r="P9" s="87"/>
      <c r="Q9" s="87"/>
      <c r="R9" s="87"/>
      <c r="S9" s="87"/>
      <c r="T9" s="87"/>
      <c r="U9" s="87"/>
      <c r="V9" s="87"/>
      <c r="W9" s="87"/>
      <c r="X9" s="87"/>
      <c r="Y9" s="87"/>
      <c r="Z9" s="87"/>
      <c r="AA9" s="87"/>
      <c r="AB9" s="87"/>
      <c r="AC9" s="87"/>
      <c r="AD9" s="87"/>
      <c r="AE9" s="87"/>
      <c r="AF9" s="87"/>
      <c r="AG9" s="87"/>
      <c r="AH9" s="87"/>
      <c r="AI9" s="87"/>
      <c r="AJ9" s="87"/>
      <c r="AK9" s="87"/>
    </row>
    <row r="10" spans="1:37" ht="16.5" x14ac:dyDescent="0.25">
      <c r="A10" s="87"/>
      <c r="B10" s="108"/>
      <c r="C10" s="107"/>
      <c r="D10" s="107"/>
      <c r="E10" s="87"/>
      <c r="F10" s="87"/>
      <c r="G10" s="87"/>
      <c r="H10" s="87"/>
      <c r="I10" s="87"/>
      <c r="J10" s="87"/>
      <c r="K10" s="87"/>
      <c r="L10" s="87"/>
      <c r="M10" s="87"/>
      <c r="N10" s="87"/>
      <c r="O10" s="87"/>
      <c r="P10" s="87"/>
      <c r="Q10" s="87"/>
      <c r="R10" s="87"/>
      <c r="S10" s="87"/>
      <c r="T10" s="87"/>
      <c r="U10" s="87"/>
      <c r="V10" s="87"/>
      <c r="W10" s="87"/>
      <c r="X10" s="87"/>
      <c r="Y10" s="87"/>
      <c r="Z10" s="87"/>
      <c r="AA10" s="87"/>
      <c r="AB10" s="87"/>
      <c r="AC10" s="87"/>
      <c r="AD10" s="87"/>
      <c r="AE10" s="87"/>
      <c r="AF10" s="87"/>
      <c r="AG10" s="87"/>
      <c r="AH10" s="87"/>
      <c r="AI10" s="87"/>
      <c r="AJ10" s="87"/>
      <c r="AK10" s="87"/>
    </row>
    <row r="11" spans="1:37" x14ac:dyDescent="0.25">
      <c r="A11" s="87"/>
      <c r="B11" s="107"/>
      <c r="C11" s="107"/>
      <c r="D11" s="10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c r="AI11" s="87"/>
      <c r="AJ11" s="87"/>
      <c r="AK11" s="87"/>
    </row>
    <row r="12" spans="1:37" x14ac:dyDescent="0.25">
      <c r="A12" s="87"/>
      <c r="B12" s="107"/>
      <c r="C12" s="107"/>
      <c r="D12" s="107"/>
      <c r="E12" s="87"/>
      <c r="F12" s="87"/>
      <c r="G12" s="87"/>
      <c r="H12" s="87"/>
      <c r="I12" s="87"/>
      <c r="J12" s="87"/>
      <c r="K12" s="87"/>
      <c r="L12" s="87"/>
      <c r="M12" s="87"/>
      <c r="N12" s="87"/>
      <c r="O12" s="87"/>
      <c r="P12" s="87"/>
      <c r="Q12" s="87"/>
      <c r="R12" s="87"/>
      <c r="S12" s="87"/>
      <c r="T12" s="87"/>
      <c r="U12" s="87"/>
      <c r="V12" s="87"/>
      <c r="W12" s="87"/>
      <c r="X12" s="87"/>
      <c r="Y12" s="87"/>
      <c r="Z12" s="87"/>
      <c r="AA12" s="87"/>
      <c r="AB12" s="87"/>
      <c r="AC12" s="87"/>
      <c r="AD12" s="87"/>
      <c r="AE12" s="87"/>
      <c r="AF12" s="87"/>
      <c r="AG12" s="87"/>
      <c r="AH12" s="87"/>
      <c r="AI12" s="87"/>
      <c r="AJ12" s="87"/>
      <c r="AK12" s="87"/>
    </row>
    <row r="13" spans="1:37" x14ac:dyDescent="0.25">
      <c r="A13" s="87"/>
      <c r="B13" s="107"/>
      <c r="C13" s="107"/>
      <c r="D13" s="107"/>
      <c r="E13" s="87"/>
      <c r="F13" s="87"/>
      <c r="G13" s="87"/>
      <c r="H13" s="87"/>
      <c r="I13" s="87"/>
      <c r="J13" s="87"/>
      <c r="K13" s="87"/>
      <c r="L13" s="87"/>
      <c r="M13" s="87"/>
      <c r="N13" s="87"/>
      <c r="O13" s="87"/>
      <c r="P13" s="87"/>
      <c r="Q13" s="87"/>
      <c r="R13" s="87"/>
      <c r="S13" s="87"/>
      <c r="T13" s="87"/>
      <c r="U13" s="87"/>
      <c r="V13" s="87"/>
      <c r="W13" s="87"/>
      <c r="X13" s="87"/>
      <c r="Y13" s="87"/>
      <c r="Z13" s="87"/>
      <c r="AA13" s="87"/>
      <c r="AB13" s="87"/>
      <c r="AC13" s="87"/>
      <c r="AD13" s="87"/>
      <c r="AE13" s="87"/>
      <c r="AF13" s="87"/>
      <c r="AG13" s="87"/>
      <c r="AH13" s="87"/>
      <c r="AI13" s="87"/>
      <c r="AJ13" s="87"/>
      <c r="AK13" s="87"/>
    </row>
    <row r="14" spans="1:37" x14ac:dyDescent="0.25">
      <c r="A14" s="87"/>
      <c r="B14" s="107"/>
      <c r="C14" s="107"/>
      <c r="D14" s="107"/>
      <c r="E14" s="87"/>
      <c r="F14" s="87"/>
      <c r="G14" s="87"/>
      <c r="H14" s="87"/>
      <c r="I14" s="87"/>
      <c r="J14" s="87"/>
      <c r="K14" s="87"/>
      <c r="L14" s="87"/>
      <c r="M14" s="87"/>
      <c r="N14" s="87"/>
      <c r="O14" s="87"/>
      <c r="P14" s="87"/>
      <c r="Q14" s="87"/>
      <c r="R14" s="87"/>
      <c r="S14" s="87"/>
      <c r="T14" s="87"/>
      <c r="U14" s="87"/>
      <c r="V14" s="87"/>
      <c r="W14" s="87"/>
      <c r="X14" s="87"/>
      <c r="Y14" s="87"/>
      <c r="Z14" s="87"/>
      <c r="AA14" s="87"/>
      <c r="AB14" s="87"/>
      <c r="AC14" s="87"/>
      <c r="AD14" s="87"/>
      <c r="AE14" s="87"/>
      <c r="AF14" s="87"/>
      <c r="AG14" s="87"/>
      <c r="AH14" s="87"/>
      <c r="AI14" s="87"/>
      <c r="AJ14" s="87"/>
      <c r="AK14" s="87"/>
    </row>
    <row r="15" spans="1:37" x14ac:dyDescent="0.25">
      <c r="A15" s="87"/>
      <c r="B15" s="107"/>
      <c r="C15" s="107"/>
      <c r="D15" s="107"/>
      <c r="E15" s="87"/>
      <c r="F15" s="87"/>
      <c r="G15" s="87"/>
      <c r="H15" s="87"/>
      <c r="I15" s="87"/>
      <c r="J15" s="87"/>
      <c r="K15" s="87"/>
      <c r="L15" s="87"/>
      <c r="M15" s="87"/>
      <c r="N15" s="87"/>
      <c r="O15" s="87"/>
      <c r="P15" s="87"/>
      <c r="Q15" s="87"/>
      <c r="R15" s="87"/>
      <c r="S15" s="87"/>
      <c r="T15" s="87"/>
      <c r="U15" s="87"/>
      <c r="V15" s="87"/>
      <c r="W15" s="87"/>
      <c r="X15" s="87"/>
      <c r="Y15" s="87"/>
      <c r="Z15" s="87"/>
      <c r="AA15" s="87"/>
      <c r="AB15" s="87"/>
      <c r="AC15" s="87"/>
      <c r="AD15" s="87"/>
      <c r="AE15" s="87"/>
      <c r="AF15" s="87"/>
      <c r="AG15" s="87"/>
      <c r="AH15" s="87"/>
      <c r="AI15" s="87"/>
      <c r="AJ15" s="87"/>
      <c r="AK15" s="87"/>
    </row>
    <row r="16" spans="1:37" x14ac:dyDescent="0.25">
      <c r="A16" s="87"/>
      <c r="B16" s="107"/>
      <c r="C16" s="107"/>
      <c r="D16" s="107"/>
      <c r="E16" s="87"/>
      <c r="F16" s="87"/>
      <c r="G16" s="87"/>
      <c r="H16" s="87"/>
      <c r="I16" s="87"/>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row>
    <row r="17" spans="1:37" x14ac:dyDescent="0.25">
      <c r="A17" s="87"/>
      <c r="B17" s="107"/>
      <c r="C17" s="107"/>
      <c r="D17" s="107"/>
      <c r="E17" s="87"/>
      <c r="F17" s="87"/>
      <c r="G17" s="87"/>
      <c r="H17" s="87"/>
      <c r="I17" s="87"/>
      <c r="J17" s="87"/>
      <c r="K17" s="87"/>
      <c r="L17" s="87"/>
      <c r="M17" s="87"/>
      <c r="N17" s="87"/>
      <c r="O17" s="87"/>
      <c r="P17" s="87"/>
      <c r="Q17" s="87"/>
      <c r="R17" s="87"/>
      <c r="S17" s="87"/>
      <c r="T17" s="87"/>
      <c r="U17" s="87"/>
      <c r="V17" s="87"/>
      <c r="W17" s="87"/>
      <c r="X17" s="87"/>
      <c r="Y17" s="87"/>
      <c r="Z17" s="87"/>
      <c r="AA17" s="87"/>
      <c r="AB17" s="87"/>
      <c r="AC17" s="87"/>
      <c r="AD17" s="87"/>
      <c r="AE17" s="87"/>
      <c r="AF17" s="87"/>
      <c r="AG17" s="87"/>
      <c r="AH17" s="87"/>
      <c r="AI17" s="87"/>
      <c r="AJ17" s="87"/>
      <c r="AK17" s="87"/>
    </row>
    <row r="18" spans="1:37" x14ac:dyDescent="0.25">
      <c r="A18" s="87"/>
      <c r="B18" s="107"/>
      <c r="C18" s="107"/>
      <c r="D18" s="107"/>
      <c r="E18" s="87"/>
      <c r="F18" s="87"/>
      <c r="G18" s="87"/>
      <c r="H18" s="87"/>
      <c r="I18" s="87"/>
      <c r="J18" s="87"/>
      <c r="K18" s="87"/>
      <c r="L18" s="87"/>
      <c r="M18" s="87"/>
      <c r="N18" s="87"/>
      <c r="O18" s="87"/>
      <c r="P18" s="87"/>
      <c r="Q18" s="87"/>
      <c r="R18" s="87"/>
      <c r="S18" s="87"/>
      <c r="T18" s="87"/>
      <c r="U18" s="87"/>
      <c r="V18" s="87"/>
      <c r="W18" s="87"/>
      <c r="X18" s="87"/>
      <c r="Y18" s="87"/>
      <c r="Z18" s="87"/>
      <c r="AA18" s="87"/>
      <c r="AB18" s="87"/>
      <c r="AC18" s="87"/>
      <c r="AD18" s="87"/>
      <c r="AE18" s="87"/>
      <c r="AF18" s="87"/>
      <c r="AG18" s="87"/>
      <c r="AH18" s="87"/>
      <c r="AI18" s="87"/>
      <c r="AJ18" s="87"/>
      <c r="AK18" s="87"/>
    </row>
    <row r="19" spans="1:37" x14ac:dyDescent="0.25">
      <c r="A19" s="87"/>
      <c r="B19" s="87"/>
      <c r="C19" s="87"/>
      <c r="D19" s="87"/>
      <c r="E19" s="87"/>
      <c r="F19" s="87"/>
      <c r="G19" s="87"/>
      <c r="H19" s="87"/>
      <c r="I19" s="87"/>
      <c r="J19" s="87"/>
      <c r="K19" s="87"/>
      <c r="L19" s="87"/>
      <c r="M19" s="87"/>
      <c r="N19" s="87"/>
      <c r="O19" s="87"/>
      <c r="P19" s="87"/>
      <c r="Q19" s="87"/>
      <c r="R19" s="87"/>
      <c r="S19" s="87"/>
      <c r="T19" s="87"/>
      <c r="U19" s="87"/>
      <c r="V19" s="87"/>
      <c r="W19" s="87"/>
      <c r="X19" s="87"/>
      <c r="Y19" s="87"/>
      <c r="Z19" s="87"/>
      <c r="AA19" s="87"/>
      <c r="AB19" s="87"/>
      <c r="AC19" s="87"/>
      <c r="AD19" s="87"/>
      <c r="AE19" s="87"/>
      <c r="AF19" s="87"/>
      <c r="AG19" s="87"/>
      <c r="AH19" s="87"/>
      <c r="AI19" s="87"/>
      <c r="AJ19" s="87"/>
      <c r="AK19" s="87"/>
    </row>
    <row r="20" spans="1:37" x14ac:dyDescent="0.25">
      <c r="A20" s="87"/>
      <c r="B20" s="87"/>
      <c r="C20" s="87"/>
      <c r="D20" s="87"/>
      <c r="E20" s="87"/>
      <c r="F20" s="87"/>
      <c r="G20" s="87"/>
      <c r="H20" s="87"/>
      <c r="I20" s="87"/>
      <c r="J20" s="87"/>
      <c r="K20" s="87"/>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7"/>
    </row>
    <row r="21" spans="1:37" x14ac:dyDescent="0.25">
      <c r="A21" s="87"/>
      <c r="B21" s="87"/>
      <c r="C21" s="87"/>
      <c r="D21" s="87"/>
      <c r="E21" s="87"/>
      <c r="F21" s="87"/>
      <c r="G21" s="87"/>
      <c r="H21" s="87"/>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row>
    <row r="22" spans="1:37" x14ac:dyDescent="0.25">
      <c r="A22" s="87"/>
      <c r="B22" s="87"/>
      <c r="C22" s="87"/>
      <c r="D22" s="87"/>
      <c r="E22" s="87"/>
      <c r="F22" s="87"/>
      <c r="G22" s="87"/>
      <c r="H22" s="87"/>
      <c r="I22" s="87"/>
      <c r="J22" s="87"/>
      <c r="K22" s="87"/>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row>
    <row r="23" spans="1:37" x14ac:dyDescent="0.25">
      <c r="A23" s="87"/>
      <c r="B23" s="87"/>
      <c r="C23" s="87"/>
      <c r="D23" s="87"/>
      <c r="E23" s="87"/>
      <c r="F23" s="87"/>
      <c r="G23" s="87"/>
      <c r="H23" s="87"/>
      <c r="I23" s="87"/>
      <c r="J23" s="87"/>
      <c r="K23" s="87"/>
      <c r="L23" s="87"/>
      <c r="M23" s="87"/>
      <c r="N23" s="87"/>
      <c r="O23" s="87"/>
      <c r="P23" s="87"/>
      <c r="Q23" s="87"/>
      <c r="R23" s="87"/>
      <c r="S23" s="87"/>
      <c r="T23" s="87"/>
      <c r="U23" s="87"/>
      <c r="V23" s="87"/>
      <c r="W23" s="87"/>
      <c r="X23" s="87"/>
      <c r="Y23" s="87"/>
      <c r="Z23" s="87"/>
      <c r="AA23" s="87"/>
      <c r="AB23" s="87"/>
      <c r="AC23" s="87"/>
      <c r="AD23" s="87"/>
      <c r="AE23" s="87"/>
      <c r="AF23" s="87"/>
      <c r="AG23" s="87"/>
      <c r="AH23" s="87"/>
      <c r="AI23" s="87"/>
      <c r="AJ23" s="87"/>
      <c r="AK23" s="87"/>
    </row>
    <row r="24" spans="1:37" x14ac:dyDescent="0.25">
      <c r="A24" s="87"/>
      <c r="B24" s="87"/>
      <c r="C24" s="87"/>
      <c r="D24" s="87"/>
      <c r="E24" s="87"/>
      <c r="F24" s="87"/>
      <c r="G24" s="87"/>
      <c r="H24" s="87"/>
      <c r="I24" s="87"/>
      <c r="J24" s="87"/>
      <c r="K24" s="87"/>
      <c r="L24" s="87"/>
      <c r="M24" s="87"/>
      <c r="N24" s="87"/>
      <c r="O24" s="87"/>
      <c r="P24" s="87"/>
      <c r="Q24" s="87"/>
      <c r="R24" s="87"/>
      <c r="S24" s="87"/>
      <c r="T24" s="87"/>
      <c r="U24" s="87"/>
      <c r="V24" s="87"/>
      <c r="W24" s="87"/>
      <c r="X24" s="87"/>
      <c r="Y24" s="87"/>
      <c r="Z24" s="87"/>
      <c r="AA24" s="87"/>
      <c r="AB24" s="87"/>
      <c r="AC24" s="87"/>
      <c r="AD24" s="87"/>
      <c r="AE24" s="87"/>
      <c r="AF24" s="87"/>
      <c r="AG24" s="87"/>
      <c r="AH24" s="87"/>
      <c r="AI24" s="87"/>
      <c r="AJ24" s="87"/>
      <c r="AK24" s="87"/>
    </row>
    <row r="25" spans="1:37" x14ac:dyDescent="0.25">
      <c r="A25" s="87"/>
      <c r="B25" s="87"/>
      <c r="C25" s="87"/>
      <c r="D25" s="87"/>
      <c r="E25" s="87"/>
      <c r="F25" s="87"/>
      <c r="G25" s="87"/>
      <c r="H25" s="87"/>
      <c r="I25" s="87"/>
      <c r="J25" s="87"/>
      <c r="K25" s="87"/>
      <c r="L25" s="87"/>
      <c r="M25" s="87"/>
      <c r="N25" s="87"/>
      <c r="O25" s="87"/>
      <c r="P25" s="87"/>
      <c r="Q25" s="87"/>
      <c r="R25" s="87"/>
      <c r="S25" s="87"/>
      <c r="T25" s="87"/>
      <c r="U25" s="87"/>
      <c r="V25" s="87"/>
      <c r="W25" s="87"/>
      <c r="X25" s="87"/>
      <c r="Y25" s="87"/>
      <c r="Z25" s="87"/>
      <c r="AA25" s="87"/>
      <c r="AB25" s="87"/>
      <c r="AC25" s="87"/>
      <c r="AD25" s="87"/>
      <c r="AE25" s="87"/>
      <c r="AF25" s="87"/>
      <c r="AG25" s="87"/>
      <c r="AH25" s="87"/>
      <c r="AI25" s="87"/>
      <c r="AJ25" s="87"/>
      <c r="AK25" s="87"/>
    </row>
    <row r="26" spans="1:37" x14ac:dyDescent="0.25">
      <c r="A26" s="87"/>
      <c r="B26" s="87"/>
      <c r="C26" s="87"/>
      <c r="D26" s="87"/>
      <c r="E26" s="87"/>
      <c r="F26" s="87"/>
      <c r="G26" s="87"/>
      <c r="H26" s="87"/>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7"/>
      <c r="AI26" s="87"/>
      <c r="AJ26" s="87"/>
      <c r="AK26" s="87"/>
    </row>
    <row r="27" spans="1:37" x14ac:dyDescent="0.25">
      <c r="A27" s="87"/>
      <c r="B27" s="87"/>
      <c r="C27" s="87"/>
      <c r="D27" s="87"/>
      <c r="E27" s="87"/>
      <c r="F27" s="87"/>
      <c r="G27" s="87"/>
      <c r="H27" s="87"/>
      <c r="I27" s="87"/>
      <c r="J27" s="87"/>
      <c r="K27" s="87"/>
      <c r="L27" s="87"/>
      <c r="M27" s="87"/>
      <c r="N27" s="87"/>
      <c r="O27" s="87"/>
      <c r="P27" s="87"/>
      <c r="Q27" s="87"/>
      <c r="R27" s="87"/>
      <c r="S27" s="87"/>
      <c r="T27" s="87"/>
      <c r="U27" s="87"/>
      <c r="V27" s="87"/>
      <c r="W27" s="87"/>
      <c r="X27" s="87"/>
      <c r="Y27" s="87"/>
      <c r="Z27" s="87"/>
      <c r="AA27" s="87"/>
      <c r="AB27" s="87"/>
      <c r="AC27" s="87"/>
      <c r="AD27" s="87"/>
      <c r="AE27" s="87"/>
      <c r="AF27" s="87"/>
      <c r="AG27" s="87"/>
      <c r="AH27" s="87"/>
      <c r="AI27" s="87"/>
      <c r="AJ27" s="87"/>
      <c r="AK27" s="87"/>
    </row>
    <row r="28" spans="1:37" x14ac:dyDescent="0.25">
      <c r="A28" s="87"/>
      <c r="B28" s="87"/>
      <c r="C28" s="87"/>
      <c r="D28" s="87"/>
      <c r="E28" s="87"/>
      <c r="F28" s="87"/>
      <c r="G28" s="87"/>
      <c r="H28" s="87"/>
      <c r="I28" s="87"/>
      <c r="J28" s="87"/>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row>
    <row r="29" spans="1:37" x14ac:dyDescent="0.25">
      <c r="A29" s="87"/>
      <c r="B29" s="87"/>
      <c r="C29" s="87"/>
      <c r="D29" s="87"/>
      <c r="E29" s="87"/>
      <c r="F29" s="87"/>
      <c r="G29" s="87"/>
      <c r="H29" s="87"/>
      <c r="I29" s="87"/>
      <c r="J29" s="87"/>
      <c r="K29" s="87"/>
      <c r="L29" s="87"/>
      <c r="M29" s="87"/>
      <c r="N29" s="87"/>
      <c r="O29" s="87"/>
      <c r="P29" s="87"/>
      <c r="Q29" s="87"/>
      <c r="R29" s="87"/>
      <c r="S29" s="87"/>
      <c r="T29" s="87"/>
      <c r="U29" s="87"/>
      <c r="V29" s="87"/>
      <c r="W29" s="87"/>
      <c r="X29" s="87"/>
      <c r="Y29" s="87"/>
      <c r="Z29" s="87"/>
      <c r="AA29" s="87"/>
      <c r="AB29" s="87"/>
      <c r="AC29" s="87"/>
      <c r="AD29" s="87"/>
      <c r="AE29" s="87"/>
      <c r="AF29" s="87"/>
      <c r="AG29" s="87"/>
      <c r="AH29" s="87"/>
      <c r="AI29" s="87"/>
      <c r="AJ29" s="87"/>
      <c r="AK29" s="87"/>
    </row>
    <row r="30" spans="1:37" x14ac:dyDescent="0.25">
      <c r="A30" s="87"/>
      <c r="B30" s="87"/>
      <c r="C30" s="87"/>
      <c r="D30" s="87"/>
      <c r="E30" s="87"/>
      <c r="F30" s="87"/>
      <c r="G30" s="87"/>
      <c r="H30" s="87"/>
      <c r="I30" s="87"/>
      <c r="J30" s="87"/>
      <c r="K30" s="87"/>
      <c r="L30" s="87"/>
      <c r="M30" s="87"/>
      <c r="N30" s="87"/>
      <c r="O30" s="87"/>
      <c r="P30" s="87"/>
      <c r="Q30" s="87"/>
      <c r="R30" s="87"/>
      <c r="S30" s="87"/>
      <c r="T30" s="87"/>
      <c r="U30" s="87"/>
      <c r="V30" s="87"/>
      <c r="W30" s="87"/>
      <c r="X30" s="87"/>
      <c r="Y30" s="87"/>
      <c r="Z30" s="87"/>
      <c r="AA30" s="87"/>
      <c r="AB30" s="87"/>
      <c r="AC30" s="87"/>
      <c r="AD30" s="87"/>
      <c r="AE30" s="87"/>
      <c r="AF30" s="87"/>
      <c r="AG30" s="87"/>
      <c r="AH30" s="87"/>
      <c r="AI30" s="87"/>
      <c r="AJ30" s="87"/>
      <c r="AK30" s="87"/>
    </row>
    <row r="31" spans="1:37" x14ac:dyDescent="0.25">
      <c r="A31" s="87"/>
      <c r="B31" s="87"/>
      <c r="C31" s="87"/>
      <c r="D31" s="87"/>
      <c r="E31" s="87"/>
      <c r="F31" s="87"/>
      <c r="G31" s="87"/>
      <c r="H31" s="87"/>
      <c r="I31" s="87"/>
      <c r="J31" s="87"/>
      <c r="K31" s="87"/>
      <c r="L31" s="87"/>
      <c r="M31" s="87"/>
      <c r="N31" s="87"/>
      <c r="O31" s="87"/>
      <c r="P31" s="87"/>
      <c r="Q31" s="87"/>
      <c r="R31" s="87"/>
      <c r="S31" s="87"/>
      <c r="T31" s="87"/>
      <c r="U31" s="87"/>
      <c r="V31" s="87"/>
      <c r="W31" s="87"/>
      <c r="X31" s="87"/>
      <c r="Y31" s="87"/>
      <c r="Z31" s="87"/>
      <c r="AA31" s="87"/>
      <c r="AB31" s="87"/>
      <c r="AC31" s="87"/>
      <c r="AD31" s="87"/>
      <c r="AE31" s="87"/>
      <c r="AF31" s="87"/>
      <c r="AG31" s="87"/>
      <c r="AH31" s="87"/>
      <c r="AI31" s="87"/>
      <c r="AJ31" s="87"/>
      <c r="AK31" s="87"/>
    </row>
    <row r="32" spans="1:37" x14ac:dyDescent="0.25">
      <c r="A32" s="87"/>
      <c r="B32" s="87"/>
      <c r="C32" s="87"/>
      <c r="D32" s="87"/>
      <c r="E32" s="87"/>
      <c r="F32" s="87"/>
      <c r="G32" s="87"/>
      <c r="H32" s="87"/>
      <c r="I32" s="87"/>
      <c r="J32" s="87"/>
      <c r="K32" s="87"/>
      <c r="L32" s="87"/>
      <c r="M32" s="87"/>
      <c r="N32" s="87"/>
      <c r="O32" s="87"/>
      <c r="P32" s="87"/>
      <c r="Q32" s="87"/>
      <c r="R32" s="87"/>
      <c r="S32" s="87"/>
      <c r="T32" s="87"/>
      <c r="U32" s="87"/>
      <c r="V32" s="87"/>
      <c r="W32" s="87"/>
      <c r="X32" s="87"/>
      <c r="Y32" s="87"/>
      <c r="Z32" s="87"/>
      <c r="AA32" s="87"/>
      <c r="AB32" s="87"/>
      <c r="AC32" s="87"/>
      <c r="AD32" s="87"/>
      <c r="AE32" s="87"/>
      <c r="AF32" s="87"/>
      <c r="AG32" s="87"/>
      <c r="AH32" s="87"/>
      <c r="AI32" s="87"/>
      <c r="AJ32" s="87"/>
      <c r="AK32" s="87"/>
    </row>
    <row r="33" spans="1:31" x14ac:dyDescent="0.25">
      <c r="A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row>
    <row r="34" spans="1:31" x14ac:dyDescent="0.25">
      <c r="A34" s="87"/>
      <c r="E34" s="87"/>
      <c r="F34" s="87"/>
      <c r="G34" s="87"/>
      <c r="H34" s="87"/>
      <c r="I34" s="87"/>
      <c r="J34" s="87"/>
      <c r="K34" s="87"/>
      <c r="L34" s="87"/>
      <c r="M34" s="87"/>
      <c r="N34" s="87"/>
      <c r="O34" s="87"/>
      <c r="P34" s="87"/>
      <c r="Q34" s="87"/>
      <c r="R34" s="87"/>
      <c r="S34" s="87"/>
      <c r="T34" s="87"/>
      <c r="U34" s="87"/>
      <c r="V34" s="87"/>
      <c r="W34" s="87"/>
      <c r="X34" s="87"/>
      <c r="Y34" s="87"/>
      <c r="Z34" s="87"/>
      <c r="AA34" s="87"/>
      <c r="AB34" s="87"/>
      <c r="AC34" s="87"/>
      <c r="AD34" s="87"/>
      <c r="AE34" s="87"/>
    </row>
    <row r="35" spans="1:31" x14ac:dyDescent="0.25">
      <c r="A35" s="87"/>
    </row>
    <row r="36" spans="1:31" x14ac:dyDescent="0.25">
      <c r="A36" s="87"/>
    </row>
    <row r="37" spans="1:31" x14ac:dyDescent="0.25">
      <c r="A37" s="87"/>
    </row>
    <row r="38" spans="1:31" x14ac:dyDescent="0.25">
      <c r="A38" s="87"/>
    </row>
    <row r="39" spans="1:31" x14ac:dyDescent="0.25">
      <c r="A39" s="87"/>
    </row>
    <row r="40" spans="1:31" x14ac:dyDescent="0.25">
      <c r="A40" s="87"/>
    </row>
    <row r="41" spans="1:31" x14ac:dyDescent="0.25">
      <c r="A41" s="87"/>
    </row>
    <row r="42" spans="1:31" x14ac:dyDescent="0.25">
      <c r="A42" s="87"/>
    </row>
    <row r="43" spans="1:31" x14ac:dyDescent="0.25">
      <c r="A43" s="87"/>
    </row>
    <row r="44" spans="1:31" x14ac:dyDescent="0.25">
      <c r="A44" s="87"/>
    </row>
    <row r="45" spans="1:31" x14ac:dyDescent="0.25">
      <c r="A45" s="87"/>
    </row>
    <row r="46" spans="1:31" x14ac:dyDescent="0.25">
      <c r="A46" s="87"/>
    </row>
    <row r="47" spans="1:31" x14ac:dyDescent="0.25">
      <c r="A47" s="87"/>
    </row>
    <row r="48" spans="1:31" x14ac:dyDescent="0.25">
      <c r="A48" s="87"/>
    </row>
    <row r="49" spans="1:1" x14ac:dyDescent="0.25">
      <c r="A49" s="87"/>
    </row>
    <row r="50" spans="1:1" x14ac:dyDescent="0.25">
      <c r="A50" s="87"/>
    </row>
    <row r="51" spans="1:1" x14ac:dyDescent="0.25">
      <c r="A51" s="87"/>
    </row>
    <row r="52" spans="1:1" x14ac:dyDescent="0.25">
      <c r="A52" s="87"/>
    </row>
    <row r="53" spans="1:1" x14ac:dyDescent="0.25">
      <c r="A53" s="87"/>
    </row>
    <row r="54" spans="1:1" x14ac:dyDescent="0.25">
      <c r="A54" s="87"/>
    </row>
    <row r="55" spans="1:1" x14ac:dyDescent="0.25">
      <c r="A55" s="87"/>
    </row>
  </sheetData>
  <mergeCells count="1">
    <mergeCell ref="B1:D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249977111117893"/>
  </sheetPr>
  <dimension ref="A1:U232"/>
  <sheetViews>
    <sheetView zoomScale="60" zoomScaleNormal="60" workbookViewId="0">
      <selection activeCell="C7" sqref="C7"/>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87"/>
      <c r="B1" s="831" t="s">
        <v>484</v>
      </c>
      <c r="C1" s="831"/>
      <c r="D1" s="831"/>
      <c r="E1" s="87"/>
      <c r="F1" s="87"/>
      <c r="G1" s="87"/>
      <c r="H1" s="87"/>
      <c r="I1" s="87"/>
      <c r="J1" s="87"/>
      <c r="K1" s="87"/>
      <c r="L1" s="87"/>
      <c r="M1" s="87"/>
      <c r="N1" s="87"/>
      <c r="O1" s="87"/>
      <c r="P1" s="87"/>
      <c r="Q1" s="87"/>
      <c r="R1" s="87"/>
      <c r="S1" s="87"/>
      <c r="T1" s="87"/>
      <c r="U1" s="87"/>
    </row>
    <row r="2" spans="1:21" x14ac:dyDescent="0.25">
      <c r="A2" s="87"/>
      <c r="B2" s="87"/>
      <c r="C2" s="87"/>
      <c r="D2" s="87"/>
      <c r="E2" s="87"/>
      <c r="F2" s="87"/>
      <c r="G2" s="87"/>
      <c r="H2" s="87"/>
      <c r="I2" s="87"/>
      <c r="J2" s="87"/>
      <c r="K2" s="87"/>
      <c r="L2" s="87"/>
      <c r="M2" s="87"/>
      <c r="N2" s="87"/>
      <c r="O2" s="87"/>
      <c r="P2" s="87"/>
      <c r="Q2" s="87"/>
      <c r="R2" s="87"/>
      <c r="S2" s="87"/>
      <c r="T2" s="87"/>
      <c r="U2" s="87"/>
    </row>
    <row r="3" spans="1:21" ht="30" x14ac:dyDescent="0.25">
      <c r="A3" s="87"/>
      <c r="B3" s="104"/>
      <c r="C3" s="33" t="s">
        <v>485</v>
      </c>
      <c r="D3" s="33" t="s">
        <v>486</v>
      </c>
      <c r="E3" s="87"/>
      <c r="F3" s="87"/>
      <c r="G3" s="87"/>
      <c r="H3" s="87"/>
      <c r="I3" s="87"/>
      <c r="J3" s="87"/>
      <c r="K3" s="87"/>
      <c r="L3" s="87"/>
      <c r="M3" s="87"/>
      <c r="N3" s="87"/>
      <c r="O3" s="87"/>
      <c r="P3" s="87"/>
      <c r="Q3" s="87"/>
      <c r="R3" s="87"/>
      <c r="S3" s="87"/>
      <c r="T3" s="87"/>
      <c r="U3" s="87"/>
    </row>
    <row r="4" spans="1:21" ht="33.75" x14ac:dyDescent="0.25">
      <c r="A4" s="103" t="s">
        <v>487</v>
      </c>
      <c r="B4" s="36" t="s">
        <v>488</v>
      </c>
      <c r="C4" s="41" t="s">
        <v>489</v>
      </c>
      <c r="D4" s="34" t="s">
        <v>490</v>
      </c>
      <c r="E4" s="87"/>
      <c r="F4" s="87"/>
      <c r="G4" s="87"/>
      <c r="H4" s="87"/>
      <c r="I4" s="87"/>
      <c r="J4" s="87"/>
      <c r="K4" s="87"/>
      <c r="L4" s="87"/>
      <c r="M4" s="87"/>
      <c r="N4" s="87"/>
      <c r="O4" s="87"/>
      <c r="P4" s="87"/>
      <c r="Q4" s="87"/>
      <c r="R4" s="87"/>
      <c r="S4" s="87"/>
      <c r="T4" s="87"/>
      <c r="U4" s="87"/>
    </row>
    <row r="5" spans="1:21" ht="99.75" customHeight="1" x14ac:dyDescent="0.25">
      <c r="A5" s="103" t="s">
        <v>491</v>
      </c>
      <c r="B5" s="37" t="s">
        <v>492</v>
      </c>
      <c r="C5" s="42" t="s">
        <v>493</v>
      </c>
      <c r="D5" s="35" t="s">
        <v>494</v>
      </c>
      <c r="E5" s="87"/>
      <c r="F5" s="87"/>
      <c r="G5" s="87"/>
      <c r="H5" s="87"/>
      <c r="I5" s="87"/>
      <c r="J5" s="87"/>
      <c r="K5" s="87"/>
      <c r="L5" s="87"/>
      <c r="M5" s="87"/>
      <c r="N5" s="87"/>
      <c r="O5" s="87"/>
      <c r="P5" s="87"/>
      <c r="Q5" s="87"/>
      <c r="R5" s="87"/>
      <c r="S5" s="87"/>
      <c r="T5" s="87"/>
      <c r="U5" s="87"/>
    </row>
    <row r="6" spans="1:21" ht="67.5" x14ac:dyDescent="0.25">
      <c r="A6" s="103" t="s">
        <v>305</v>
      </c>
      <c r="B6" s="38" t="s">
        <v>495</v>
      </c>
      <c r="C6" s="42" t="s">
        <v>496</v>
      </c>
      <c r="D6" s="35" t="s">
        <v>497</v>
      </c>
      <c r="E6" s="87"/>
      <c r="F6" s="87"/>
      <c r="G6" s="87"/>
      <c r="H6" s="87"/>
      <c r="I6" s="87"/>
      <c r="J6" s="87"/>
      <c r="K6" s="87"/>
      <c r="L6" s="87"/>
      <c r="M6" s="87"/>
      <c r="N6" s="87"/>
      <c r="O6" s="87"/>
      <c r="P6" s="87"/>
      <c r="Q6" s="87"/>
      <c r="R6" s="87"/>
      <c r="S6" s="87"/>
      <c r="T6" s="87"/>
      <c r="U6" s="87"/>
    </row>
    <row r="7" spans="1:21" ht="101.25" x14ac:dyDescent="0.25">
      <c r="A7" s="103" t="s">
        <v>389</v>
      </c>
      <c r="B7" s="39" t="s">
        <v>498</v>
      </c>
      <c r="C7" s="42" t="s">
        <v>499</v>
      </c>
      <c r="D7" s="35" t="s">
        <v>500</v>
      </c>
      <c r="E7" s="87"/>
      <c r="F7" s="87"/>
      <c r="G7" s="87"/>
      <c r="H7" s="87"/>
      <c r="I7" s="87"/>
      <c r="J7" s="87"/>
      <c r="K7" s="87"/>
      <c r="L7" s="87"/>
      <c r="M7" s="87"/>
      <c r="N7" s="87"/>
      <c r="O7" s="87"/>
      <c r="P7" s="87"/>
      <c r="Q7" s="87"/>
      <c r="R7" s="87"/>
      <c r="S7" s="87"/>
      <c r="T7" s="87"/>
      <c r="U7" s="87"/>
    </row>
    <row r="8" spans="1:21" ht="67.5" x14ac:dyDescent="0.25">
      <c r="A8" s="103" t="s">
        <v>501</v>
      </c>
      <c r="B8" s="40" t="s">
        <v>502</v>
      </c>
      <c r="C8" s="42" t="s">
        <v>503</v>
      </c>
      <c r="D8" s="35" t="s">
        <v>504</v>
      </c>
      <c r="E8" s="87"/>
      <c r="F8" s="87"/>
      <c r="G8" s="87"/>
      <c r="H8" s="87"/>
      <c r="I8" s="87"/>
      <c r="J8" s="87"/>
      <c r="K8" s="87"/>
      <c r="L8" s="87"/>
      <c r="M8" s="87"/>
      <c r="N8" s="87"/>
      <c r="O8" s="87"/>
      <c r="P8" s="87"/>
      <c r="Q8" s="87"/>
      <c r="R8" s="87"/>
      <c r="S8" s="87"/>
      <c r="T8" s="87"/>
      <c r="U8" s="87"/>
    </row>
    <row r="9" spans="1:21" ht="20.25" x14ac:dyDescent="0.25">
      <c r="A9" s="103"/>
      <c r="B9" s="103"/>
      <c r="C9" s="105"/>
      <c r="D9" s="105"/>
      <c r="E9" s="87"/>
      <c r="F9" s="87"/>
      <c r="G9" s="87"/>
      <c r="H9" s="87"/>
      <c r="I9" s="87"/>
      <c r="J9" s="87"/>
      <c r="K9" s="87"/>
      <c r="L9" s="87"/>
      <c r="M9" s="87"/>
      <c r="N9" s="87"/>
      <c r="O9" s="87"/>
      <c r="P9" s="87"/>
      <c r="Q9" s="87"/>
      <c r="R9" s="87"/>
      <c r="S9" s="87"/>
      <c r="T9" s="87"/>
      <c r="U9" s="87"/>
    </row>
    <row r="10" spans="1:21" ht="16.5" x14ac:dyDescent="0.25">
      <c r="A10" s="103"/>
      <c r="B10" s="106"/>
      <c r="C10" s="106"/>
      <c r="D10" s="106"/>
      <c r="E10" s="87"/>
      <c r="F10" s="87"/>
      <c r="G10" s="87"/>
      <c r="H10" s="87"/>
      <c r="I10" s="87"/>
      <c r="J10" s="87"/>
      <c r="K10" s="87"/>
      <c r="L10" s="87"/>
      <c r="M10" s="87"/>
      <c r="N10" s="87"/>
      <c r="O10" s="87"/>
      <c r="P10" s="87"/>
      <c r="Q10" s="87"/>
      <c r="R10" s="87"/>
      <c r="S10" s="87"/>
      <c r="T10" s="87"/>
      <c r="U10" s="87"/>
    </row>
    <row r="11" spans="1:21" x14ac:dyDescent="0.25">
      <c r="A11" s="103"/>
      <c r="B11" s="103" t="s">
        <v>505</v>
      </c>
      <c r="C11" s="103" t="s">
        <v>340</v>
      </c>
      <c r="D11" s="103" t="s">
        <v>506</v>
      </c>
      <c r="E11" s="87"/>
      <c r="F11" s="87"/>
      <c r="G11" s="87"/>
      <c r="H11" s="87"/>
      <c r="I11" s="87"/>
      <c r="J11" s="87"/>
      <c r="K11" s="87"/>
      <c r="L11" s="87"/>
      <c r="M11" s="87"/>
      <c r="N11" s="87"/>
      <c r="O11" s="87"/>
      <c r="P11" s="87"/>
      <c r="Q11" s="87"/>
      <c r="R11" s="87"/>
      <c r="S11" s="87"/>
      <c r="T11" s="87"/>
      <c r="U11" s="87"/>
    </row>
    <row r="12" spans="1:21" x14ac:dyDescent="0.25">
      <c r="A12" s="103"/>
      <c r="B12" s="103" t="s">
        <v>507</v>
      </c>
      <c r="C12" s="103" t="s">
        <v>416</v>
      </c>
      <c r="D12" s="103" t="s">
        <v>371</v>
      </c>
      <c r="E12" s="87"/>
      <c r="F12" s="87"/>
      <c r="G12" s="87"/>
      <c r="H12" s="87"/>
      <c r="I12" s="87"/>
      <c r="J12" s="87"/>
      <c r="K12" s="87"/>
      <c r="L12" s="87"/>
      <c r="M12" s="87"/>
      <c r="N12" s="87"/>
      <c r="O12" s="87"/>
      <c r="P12" s="87"/>
      <c r="Q12" s="87"/>
      <c r="R12" s="87"/>
      <c r="S12" s="87"/>
      <c r="T12" s="87"/>
      <c r="U12" s="87"/>
    </row>
    <row r="13" spans="1:21" x14ac:dyDescent="0.25">
      <c r="A13" s="103"/>
      <c r="B13" s="103"/>
      <c r="C13" s="103" t="s">
        <v>227</v>
      </c>
      <c r="D13" s="103" t="s">
        <v>152</v>
      </c>
      <c r="E13" s="87"/>
      <c r="F13" s="87"/>
      <c r="G13" s="87"/>
      <c r="H13" s="87"/>
      <c r="I13" s="87"/>
      <c r="J13" s="87"/>
      <c r="K13" s="87"/>
      <c r="L13" s="87"/>
      <c r="M13" s="87"/>
      <c r="N13" s="87"/>
      <c r="O13" s="87"/>
      <c r="P13" s="87"/>
      <c r="Q13" s="87"/>
      <c r="R13" s="87"/>
      <c r="S13" s="87"/>
      <c r="T13" s="87"/>
      <c r="U13" s="87"/>
    </row>
    <row r="14" spans="1:21" x14ac:dyDescent="0.25">
      <c r="A14" s="103"/>
      <c r="B14" s="103"/>
      <c r="C14" s="103" t="s">
        <v>346</v>
      </c>
      <c r="D14" s="103" t="s">
        <v>176</v>
      </c>
      <c r="E14" s="87"/>
      <c r="F14" s="87"/>
      <c r="G14" s="87"/>
      <c r="H14" s="87"/>
      <c r="I14" s="87"/>
      <c r="J14" s="87"/>
      <c r="K14" s="87"/>
      <c r="L14" s="87"/>
      <c r="M14" s="87"/>
      <c r="N14" s="87"/>
      <c r="O14" s="87"/>
      <c r="P14" s="87"/>
      <c r="Q14" s="87"/>
      <c r="R14" s="87"/>
      <c r="S14" s="87"/>
      <c r="T14" s="87"/>
      <c r="U14" s="87"/>
    </row>
    <row r="15" spans="1:21" x14ac:dyDescent="0.25">
      <c r="A15" s="103"/>
      <c r="B15" s="103"/>
      <c r="C15" s="103" t="s">
        <v>217</v>
      </c>
      <c r="D15" s="103" t="s">
        <v>508</v>
      </c>
      <c r="E15" s="87"/>
      <c r="F15" s="87"/>
      <c r="G15" s="87"/>
      <c r="H15" s="87"/>
      <c r="I15" s="87"/>
      <c r="J15" s="87"/>
      <c r="K15" s="87"/>
      <c r="L15" s="87"/>
      <c r="M15" s="87"/>
      <c r="N15" s="87"/>
      <c r="O15" s="87"/>
      <c r="P15" s="87"/>
      <c r="Q15" s="87"/>
      <c r="R15" s="87"/>
      <c r="S15" s="87"/>
      <c r="T15" s="87"/>
      <c r="U15" s="87"/>
    </row>
    <row r="16" spans="1:21" x14ac:dyDescent="0.25">
      <c r="A16" s="103"/>
      <c r="B16" s="103"/>
      <c r="C16" s="103"/>
      <c r="D16" s="103"/>
      <c r="E16" s="87"/>
      <c r="F16" s="87"/>
      <c r="G16" s="87"/>
      <c r="H16" s="87"/>
      <c r="I16" s="87"/>
      <c r="J16" s="87"/>
      <c r="K16" s="87"/>
      <c r="L16" s="87"/>
      <c r="M16" s="87"/>
      <c r="N16" s="87"/>
      <c r="O16" s="87"/>
    </row>
    <row r="17" spans="1:15" x14ac:dyDescent="0.25">
      <c r="A17" s="103"/>
      <c r="B17" s="103"/>
      <c r="C17" s="103"/>
      <c r="D17" s="103"/>
      <c r="E17" s="87"/>
      <c r="F17" s="87"/>
      <c r="G17" s="87"/>
      <c r="H17" s="87"/>
      <c r="I17" s="87"/>
      <c r="J17" s="87"/>
      <c r="K17" s="87"/>
      <c r="L17" s="87"/>
      <c r="M17" s="87"/>
      <c r="N17" s="87"/>
      <c r="O17" s="87"/>
    </row>
    <row r="18" spans="1:15" x14ac:dyDescent="0.25">
      <c r="A18" s="103"/>
      <c r="B18" s="107"/>
      <c r="C18" s="107"/>
      <c r="D18" s="107"/>
      <c r="E18" s="87"/>
      <c r="F18" s="87"/>
      <c r="G18" s="87"/>
      <c r="H18" s="87"/>
      <c r="I18" s="87"/>
      <c r="J18" s="87"/>
      <c r="K18" s="87"/>
      <c r="L18" s="87"/>
      <c r="M18" s="87"/>
      <c r="N18" s="87"/>
      <c r="O18" s="87"/>
    </row>
    <row r="19" spans="1:15" x14ac:dyDescent="0.25">
      <c r="A19" s="103"/>
      <c r="B19" s="107"/>
      <c r="C19" s="107"/>
      <c r="D19" s="107"/>
      <c r="E19" s="87"/>
      <c r="F19" s="87"/>
      <c r="G19" s="87"/>
      <c r="H19" s="87"/>
      <c r="I19" s="87"/>
      <c r="J19" s="87"/>
      <c r="K19" s="87"/>
      <c r="L19" s="87"/>
      <c r="M19" s="87"/>
      <c r="N19" s="87"/>
      <c r="O19" s="87"/>
    </row>
    <row r="20" spans="1:15" x14ac:dyDescent="0.25">
      <c r="A20" s="103"/>
      <c r="B20" s="107"/>
      <c r="C20" s="107"/>
      <c r="D20" s="107"/>
      <c r="E20" s="87"/>
      <c r="F20" s="87"/>
      <c r="G20" s="87"/>
      <c r="H20" s="87"/>
      <c r="I20" s="87"/>
      <c r="J20" s="87"/>
      <c r="K20" s="87"/>
      <c r="L20" s="87"/>
      <c r="M20" s="87"/>
      <c r="N20" s="87"/>
      <c r="O20" s="87"/>
    </row>
    <row r="21" spans="1:15" x14ac:dyDescent="0.25">
      <c r="A21" s="103"/>
      <c r="B21" s="107"/>
      <c r="C21" s="107"/>
      <c r="D21" s="107"/>
      <c r="E21" s="87"/>
      <c r="F21" s="87"/>
      <c r="G21" s="87"/>
      <c r="H21" s="87"/>
      <c r="I21" s="87"/>
      <c r="J21" s="87"/>
      <c r="K21" s="87"/>
      <c r="L21" s="87"/>
      <c r="M21" s="87"/>
      <c r="N21" s="87"/>
      <c r="O21" s="87"/>
    </row>
    <row r="22" spans="1:15" ht="20.25" x14ac:dyDescent="0.25">
      <c r="A22" s="103"/>
      <c r="B22" s="103"/>
      <c r="C22" s="105"/>
      <c r="D22" s="105"/>
      <c r="E22" s="87"/>
      <c r="F22" s="87"/>
      <c r="G22" s="87"/>
      <c r="H22" s="87"/>
      <c r="I22" s="87"/>
      <c r="J22" s="87"/>
      <c r="K22" s="87"/>
      <c r="L22" s="87"/>
      <c r="M22" s="87"/>
      <c r="N22" s="87"/>
      <c r="O22" s="87"/>
    </row>
    <row r="23" spans="1:15" ht="20.25" x14ac:dyDescent="0.25">
      <c r="A23" s="103"/>
      <c r="B23" s="103"/>
      <c r="C23" s="105"/>
      <c r="D23" s="105"/>
      <c r="E23" s="87"/>
      <c r="F23" s="87"/>
      <c r="G23" s="87"/>
      <c r="H23" s="87"/>
      <c r="I23" s="87"/>
      <c r="J23" s="87"/>
      <c r="K23" s="87"/>
      <c r="L23" s="87"/>
      <c r="M23" s="87"/>
      <c r="N23" s="87"/>
      <c r="O23" s="87"/>
    </row>
    <row r="24" spans="1:15" ht="20.25" x14ac:dyDescent="0.25">
      <c r="A24" s="103"/>
      <c r="B24" s="103"/>
      <c r="C24" s="105"/>
      <c r="D24" s="105"/>
      <c r="E24" s="87"/>
      <c r="F24" s="87"/>
      <c r="G24" s="87"/>
      <c r="H24" s="87"/>
      <c r="I24" s="87"/>
      <c r="J24" s="87"/>
      <c r="K24" s="87"/>
      <c r="L24" s="87"/>
      <c r="M24" s="87"/>
      <c r="N24" s="87"/>
      <c r="O24" s="87"/>
    </row>
    <row r="25" spans="1:15" ht="20.25" x14ac:dyDescent="0.25">
      <c r="A25" s="103"/>
      <c r="B25" s="103"/>
      <c r="C25" s="105"/>
      <c r="D25" s="105"/>
      <c r="E25" s="87"/>
      <c r="F25" s="87"/>
      <c r="G25" s="87"/>
      <c r="H25" s="87"/>
      <c r="I25" s="87"/>
      <c r="J25" s="87"/>
      <c r="K25" s="87"/>
      <c r="L25" s="87"/>
      <c r="M25" s="87"/>
      <c r="N25" s="87"/>
      <c r="O25" s="87"/>
    </row>
    <row r="26" spans="1:15" ht="20.25" x14ac:dyDescent="0.25">
      <c r="A26" s="103"/>
      <c r="B26" s="103"/>
      <c r="C26" s="105"/>
      <c r="D26" s="105"/>
      <c r="E26" s="87"/>
      <c r="F26" s="87"/>
      <c r="G26" s="87"/>
      <c r="H26" s="87"/>
      <c r="I26" s="87"/>
      <c r="J26" s="87"/>
      <c r="K26" s="87"/>
      <c r="L26" s="87"/>
      <c r="M26" s="87"/>
      <c r="N26" s="87"/>
      <c r="O26" s="87"/>
    </row>
    <row r="27" spans="1:15" ht="20.25" x14ac:dyDescent="0.25">
      <c r="A27" s="103"/>
      <c r="B27" s="103"/>
      <c r="C27" s="105"/>
      <c r="D27" s="105"/>
      <c r="E27" s="87"/>
      <c r="F27" s="87"/>
      <c r="G27" s="87"/>
      <c r="H27" s="87"/>
      <c r="I27" s="87"/>
      <c r="J27" s="87"/>
      <c r="K27" s="87"/>
      <c r="L27" s="87"/>
      <c r="M27" s="87"/>
      <c r="N27" s="87"/>
      <c r="O27" s="87"/>
    </row>
    <row r="28" spans="1:15" ht="20.25" x14ac:dyDescent="0.25">
      <c r="A28" s="103"/>
      <c r="B28" s="103"/>
      <c r="C28" s="105"/>
      <c r="D28" s="105"/>
      <c r="E28" s="87"/>
      <c r="F28" s="87"/>
      <c r="G28" s="87"/>
      <c r="H28" s="87"/>
      <c r="I28" s="87"/>
      <c r="J28" s="87"/>
      <c r="K28" s="87"/>
      <c r="L28" s="87"/>
      <c r="M28" s="87"/>
      <c r="N28" s="87"/>
      <c r="O28" s="87"/>
    </row>
    <row r="29" spans="1:15" ht="20.25" x14ac:dyDescent="0.25">
      <c r="A29" s="103"/>
      <c r="B29" s="103"/>
      <c r="C29" s="105"/>
      <c r="D29" s="105"/>
      <c r="E29" s="87"/>
      <c r="F29" s="87"/>
      <c r="G29" s="87"/>
      <c r="H29" s="87"/>
      <c r="I29" s="87"/>
      <c r="J29" s="87"/>
      <c r="K29" s="87"/>
      <c r="L29" s="87"/>
      <c r="M29" s="87"/>
      <c r="N29" s="87"/>
      <c r="O29" s="87"/>
    </row>
    <row r="30" spans="1:15" ht="20.25" x14ac:dyDescent="0.25">
      <c r="A30" s="103"/>
      <c r="B30" s="103"/>
      <c r="C30" s="105"/>
      <c r="D30" s="105"/>
      <c r="E30" s="87"/>
      <c r="F30" s="87"/>
      <c r="G30" s="87"/>
      <c r="H30" s="87"/>
      <c r="I30" s="87"/>
      <c r="J30" s="87"/>
      <c r="K30" s="87"/>
      <c r="L30" s="87"/>
      <c r="M30" s="87"/>
      <c r="N30" s="87"/>
      <c r="O30" s="87"/>
    </row>
    <row r="31" spans="1:15" ht="20.25" x14ac:dyDescent="0.25">
      <c r="A31" s="103"/>
      <c r="B31" s="103"/>
      <c r="C31" s="105"/>
      <c r="D31" s="105"/>
      <c r="E31" s="87"/>
      <c r="F31" s="87"/>
      <c r="G31" s="87"/>
      <c r="H31" s="87"/>
      <c r="I31" s="87"/>
      <c r="J31" s="87"/>
      <c r="K31" s="87"/>
      <c r="L31" s="87"/>
      <c r="M31" s="87"/>
      <c r="N31" s="87"/>
      <c r="O31" s="87"/>
    </row>
    <row r="32" spans="1:15" ht="20.25" x14ac:dyDescent="0.25">
      <c r="A32" s="103"/>
      <c r="B32" s="103"/>
      <c r="C32" s="105"/>
      <c r="D32" s="105"/>
      <c r="E32" s="87"/>
      <c r="F32" s="87"/>
      <c r="G32" s="87"/>
      <c r="H32" s="87"/>
      <c r="I32" s="87"/>
      <c r="J32" s="87"/>
      <c r="K32" s="87"/>
      <c r="L32" s="87"/>
      <c r="M32" s="87"/>
      <c r="N32" s="87"/>
      <c r="O32" s="87"/>
    </row>
    <row r="33" spans="1:15" ht="20.25" x14ac:dyDescent="0.25">
      <c r="A33" s="103"/>
      <c r="B33" s="103"/>
      <c r="C33" s="105"/>
      <c r="D33" s="105"/>
      <c r="E33" s="87"/>
      <c r="F33" s="87"/>
      <c r="G33" s="87"/>
      <c r="H33" s="87"/>
      <c r="I33" s="87"/>
      <c r="J33" s="87"/>
      <c r="K33" s="87"/>
      <c r="L33" s="87"/>
      <c r="M33" s="87"/>
      <c r="N33" s="87"/>
      <c r="O33" s="87"/>
    </row>
    <row r="34" spans="1:15" ht="20.25" x14ac:dyDescent="0.25">
      <c r="A34" s="103"/>
      <c r="B34" s="103"/>
      <c r="C34" s="105"/>
      <c r="D34" s="105"/>
      <c r="E34" s="87"/>
      <c r="F34" s="87"/>
      <c r="G34" s="87"/>
      <c r="H34" s="87"/>
      <c r="I34" s="87"/>
      <c r="J34" s="87"/>
      <c r="K34" s="87"/>
      <c r="L34" s="87"/>
      <c r="M34" s="87"/>
      <c r="N34" s="87"/>
      <c r="O34" s="87"/>
    </row>
    <row r="35" spans="1:15" ht="20.25" x14ac:dyDescent="0.25">
      <c r="A35" s="103"/>
      <c r="B35" s="103"/>
      <c r="C35" s="105"/>
      <c r="D35" s="105"/>
      <c r="E35" s="87"/>
      <c r="F35" s="87"/>
      <c r="G35" s="87"/>
      <c r="H35" s="87"/>
      <c r="I35" s="87"/>
      <c r="J35" s="87"/>
      <c r="K35" s="87"/>
      <c r="L35" s="87"/>
      <c r="M35" s="87"/>
      <c r="N35" s="87"/>
      <c r="O35" s="87"/>
    </row>
    <row r="36" spans="1:15" ht="20.25" x14ac:dyDescent="0.25">
      <c r="A36" s="103"/>
      <c r="B36" s="103"/>
      <c r="C36" s="105"/>
      <c r="D36" s="105"/>
      <c r="E36" s="87"/>
      <c r="F36" s="87"/>
      <c r="G36" s="87"/>
      <c r="H36" s="87"/>
      <c r="I36" s="87"/>
      <c r="J36" s="87"/>
      <c r="K36" s="87"/>
      <c r="L36" s="87"/>
      <c r="M36" s="87"/>
      <c r="N36" s="87"/>
      <c r="O36" s="87"/>
    </row>
    <row r="37" spans="1:15" ht="20.25" x14ac:dyDescent="0.25">
      <c r="A37" s="103"/>
      <c r="B37" s="103"/>
      <c r="C37" s="105"/>
      <c r="D37" s="105"/>
      <c r="E37" s="87"/>
      <c r="F37" s="87"/>
      <c r="G37" s="87"/>
      <c r="H37" s="87"/>
      <c r="I37" s="87"/>
      <c r="J37" s="87"/>
      <c r="K37" s="87"/>
      <c r="L37" s="87"/>
      <c r="M37" s="87"/>
      <c r="N37" s="87"/>
      <c r="O37" s="87"/>
    </row>
    <row r="38" spans="1:15" ht="20.25" x14ac:dyDescent="0.25">
      <c r="A38" s="103"/>
      <c r="B38" s="103"/>
      <c r="C38" s="105"/>
      <c r="D38" s="105"/>
      <c r="E38" s="87"/>
      <c r="F38" s="87"/>
      <c r="G38" s="87"/>
      <c r="H38" s="87"/>
      <c r="I38" s="87"/>
      <c r="J38" s="87"/>
      <c r="K38" s="87"/>
      <c r="L38" s="87"/>
      <c r="M38" s="87"/>
      <c r="N38" s="87"/>
      <c r="O38" s="87"/>
    </row>
    <row r="39" spans="1:15" ht="20.25" x14ac:dyDescent="0.25">
      <c r="A39" s="103"/>
      <c r="B39" s="103"/>
      <c r="C39" s="105"/>
      <c r="D39" s="105"/>
      <c r="E39" s="87"/>
      <c r="F39" s="87"/>
      <c r="G39" s="87"/>
      <c r="H39" s="87"/>
      <c r="I39" s="87"/>
      <c r="J39" s="87"/>
      <c r="K39" s="87"/>
      <c r="L39" s="87"/>
      <c r="M39" s="87"/>
      <c r="N39" s="87"/>
      <c r="O39" s="87"/>
    </row>
    <row r="40" spans="1:15" ht="20.25" x14ac:dyDescent="0.25">
      <c r="A40" s="103"/>
      <c r="B40" s="103"/>
      <c r="C40" s="105"/>
      <c r="D40" s="105"/>
      <c r="E40" s="87"/>
      <c r="F40" s="87"/>
      <c r="G40" s="87"/>
      <c r="H40" s="87"/>
      <c r="I40" s="87"/>
      <c r="J40" s="87"/>
      <c r="K40" s="87"/>
      <c r="L40" s="87"/>
      <c r="M40" s="87"/>
      <c r="N40" s="87"/>
      <c r="O40" s="87"/>
    </row>
    <row r="41" spans="1:15" ht="20.25" x14ac:dyDescent="0.25">
      <c r="A41" s="103"/>
      <c r="B41" s="103"/>
      <c r="C41" s="105"/>
      <c r="D41" s="105"/>
      <c r="E41" s="87"/>
      <c r="F41" s="87"/>
      <c r="G41" s="87"/>
      <c r="H41" s="87"/>
      <c r="I41" s="87"/>
      <c r="J41" s="87"/>
      <c r="K41" s="87"/>
      <c r="L41" s="87"/>
      <c r="M41" s="87"/>
      <c r="N41" s="87"/>
      <c r="O41" s="87"/>
    </row>
    <row r="42" spans="1:15" ht="20.25" x14ac:dyDescent="0.25">
      <c r="A42" s="103"/>
      <c r="B42" s="103"/>
      <c r="C42" s="105"/>
      <c r="D42" s="105"/>
      <c r="E42" s="87"/>
      <c r="F42" s="87"/>
      <c r="G42" s="87"/>
      <c r="H42" s="87"/>
      <c r="I42" s="87"/>
      <c r="J42" s="87"/>
      <c r="K42" s="87"/>
      <c r="L42" s="87"/>
      <c r="M42" s="87"/>
      <c r="N42" s="87"/>
      <c r="O42" s="87"/>
    </row>
    <row r="43" spans="1:15" ht="20.25" x14ac:dyDescent="0.25">
      <c r="A43" s="103"/>
      <c r="B43" s="103"/>
      <c r="C43" s="105"/>
      <c r="D43" s="105"/>
      <c r="E43" s="87"/>
      <c r="F43" s="87"/>
      <c r="G43" s="87"/>
      <c r="H43" s="87"/>
      <c r="I43" s="87"/>
      <c r="J43" s="87"/>
      <c r="K43" s="87"/>
      <c r="L43" s="87"/>
      <c r="M43" s="87"/>
      <c r="N43" s="87"/>
      <c r="O43" s="87"/>
    </row>
    <row r="44" spans="1:15" ht="20.25" x14ac:dyDescent="0.25">
      <c r="A44" s="103"/>
      <c r="B44" s="103"/>
      <c r="C44" s="105"/>
      <c r="D44" s="105"/>
      <c r="E44" s="87"/>
      <c r="F44" s="87"/>
      <c r="G44" s="87"/>
      <c r="H44" s="87"/>
      <c r="I44" s="87"/>
      <c r="J44" s="87"/>
      <c r="K44" s="87"/>
      <c r="L44" s="87"/>
      <c r="M44" s="87"/>
      <c r="N44" s="87"/>
      <c r="O44" s="87"/>
    </row>
    <row r="45" spans="1:15" ht="20.25" x14ac:dyDescent="0.25">
      <c r="A45" s="103"/>
      <c r="B45" s="103"/>
      <c r="C45" s="105"/>
      <c r="D45" s="105"/>
      <c r="E45" s="87"/>
      <c r="F45" s="87"/>
      <c r="G45" s="87"/>
      <c r="H45" s="87"/>
      <c r="I45" s="87"/>
      <c r="J45" s="87"/>
      <c r="K45" s="87"/>
      <c r="L45" s="87"/>
      <c r="M45" s="87"/>
      <c r="N45" s="87"/>
      <c r="O45" s="87"/>
    </row>
    <row r="46" spans="1:15" ht="20.25" x14ac:dyDescent="0.25">
      <c r="A46" s="103"/>
      <c r="B46" s="103"/>
      <c r="C46" s="105"/>
      <c r="D46" s="105"/>
      <c r="E46" s="87"/>
      <c r="F46" s="87"/>
      <c r="G46" s="87"/>
      <c r="H46" s="87"/>
      <c r="I46" s="87"/>
      <c r="J46" s="87"/>
      <c r="K46" s="87"/>
      <c r="L46" s="87"/>
      <c r="M46" s="87"/>
      <c r="N46" s="87"/>
      <c r="O46" s="87"/>
    </row>
    <row r="47" spans="1:15" ht="20.25" x14ac:dyDescent="0.25">
      <c r="A47" s="103"/>
      <c r="B47" s="103"/>
      <c r="C47" s="105"/>
      <c r="D47" s="105"/>
      <c r="E47" s="87"/>
      <c r="F47" s="87"/>
      <c r="G47" s="87"/>
      <c r="H47" s="87"/>
      <c r="I47" s="87"/>
      <c r="J47" s="87"/>
      <c r="K47" s="87"/>
      <c r="L47" s="87"/>
      <c r="M47" s="87"/>
      <c r="N47" s="87"/>
      <c r="O47" s="87"/>
    </row>
    <row r="48" spans="1:15" ht="20.25" x14ac:dyDescent="0.25">
      <c r="A48" s="103"/>
      <c r="B48" s="103"/>
      <c r="C48" s="105"/>
      <c r="D48" s="105"/>
      <c r="E48" s="87"/>
      <c r="F48" s="87"/>
      <c r="G48" s="87"/>
      <c r="H48" s="87"/>
      <c r="I48" s="87"/>
      <c r="J48" s="87"/>
      <c r="K48" s="87"/>
      <c r="L48" s="87"/>
      <c r="M48" s="87"/>
      <c r="N48" s="87"/>
      <c r="O48" s="87"/>
    </row>
    <row r="49" spans="1:15" ht="20.25" x14ac:dyDescent="0.25">
      <c r="A49" s="103"/>
      <c r="B49" s="103"/>
      <c r="C49" s="105"/>
      <c r="D49" s="105"/>
      <c r="E49" s="87"/>
      <c r="F49" s="87"/>
      <c r="G49" s="87"/>
      <c r="H49" s="87"/>
      <c r="I49" s="87"/>
      <c r="J49" s="87"/>
      <c r="K49" s="87"/>
      <c r="L49" s="87"/>
      <c r="M49" s="87"/>
      <c r="N49" s="87"/>
      <c r="O49" s="87"/>
    </row>
    <row r="50" spans="1:15" ht="20.25" x14ac:dyDescent="0.25">
      <c r="A50" s="103"/>
      <c r="B50" s="103"/>
      <c r="C50" s="105"/>
      <c r="D50" s="105"/>
      <c r="E50" s="87"/>
      <c r="F50" s="87"/>
      <c r="G50" s="87"/>
      <c r="H50" s="87"/>
      <c r="I50" s="87"/>
      <c r="J50" s="87"/>
      <c r="K50" s="87"/>
      <c r="L50" s="87"/>
      <c r="M50" s="87"/>
      <c r="N50" s="87"/>
      <c r="O50" s="87"/>
    </row>
    <row r="51" spans="1:15" ht="20.25" x14ac:dyDescent="0.25">
      <c r="A51" s="103"/>
      <c r="B51" s="103"/>
      <c r="C51" s="105"/>
      <c r="D51" s="105"/>
      <c r="E51" s="87"/>
      <c r="F51" s="87"/>
      <c r="G51" s="87"/>
      <c r="H51" s="87"/>
      <c r="I51" s="87"/>
      <c r="J51" s="87"/>
      <c r="K51" s="87"/>
      <c r="L51" s="87"/>
      <c r="M51" s="87"/>
      <c r="N51" s="87"/>
      <c r="O51" s="87"/>
    </row>
    <row r="52" spans="1:15" ht="20.25" x14ac:dyDescent="0.25">
      <c r="A52" s="103"/>
      <c r="B52" s="22"/>
      <c r="C52" s="31"/>
      <c r="D52" s="31"/>
    </row>
    <row r="53" spans="1:15" ht="20.25" x14ac:dyDescent="0.25">
      <c r="A53" s="103"/>
      <c r="B53" s="22"/>
      <c r="C53" s="31"/>
      <c r="D53" s="31"/>
    </row>
    <row r="54" spans="1:15" ht="20.25" x14ac:dyDescent="0.25">
      <c r="A54" s="103"/>
      <c r="B54" s="22"/>
      <c r="C54" s="31"/>
      <c r="D54" s="31"/>
    </row>
    <row r="55" spans="1:15" ht="20.25" x14ac:dyDescent="0.25">
      <c r="A55" s="103"/>
      <c r="B55" s="22"/>
      <c r="C55" s="31"/>
      <c r="D55" s="31"/>
    </row>
    <row r="56" spans="1:15" ht="20.25" x14ac:dyDescent="0.25">
      <c r="A56" s="103"/>
      <c r="B56" s="22"/>
      <c r="C56" s="31"/>
      <c r="D56" s="31"/>
    </row>
    <row r="57" spans="1:15" ht="20.25" x14ac:dyDescent="0.25">
      <c r="A57" s="103"/>
      <c r="B57" s="22"/>
      <c r="C57" s="31"/>
      <c r="D57" s="31"/>
    </row>
    <row r="58" spans="1:15" ht="20.25" x14ac:dyDescent="0.25">
      <c r="A58" s="103"/>
      <c r="B58" s="22"/>
      <c r="C58" s="31"/>
      <c r="D58" s="31"/>
    </row>
    <row r="59" spans="1:15" ht="20.25" x14ac:dyDescent="0.25">
      <c r="A59" s="103"/>
      <c r="B59" s="22"/>
      <c r="C59" s="31"/>
      <c r="D59" s="31"/>
    </row>
    <row r="60" spans="1:15" ht="20.25" x14ac:dyDescent="0.25">
      <c r="A60" s="103"/>
      <c r="B60" s="22"/>
      <c r="C60" s="31"/>
      <c r="D60" s="31"/>
    </row>
    <row r="61" spans="1:15" ht="20.25" x14ac:dyDescent="0.25">
      <c r="A61" s="103"/>
      <c r="B61" s="22"/>
      <c r="C61" s="31"/>
      <c r="D61" s="31"/>
    </row>
    <row r="62" spans="1:15" ht="20.25" x14ac:dyDescent="0.25">
      <c r="A62" s="103"/>
      <c r="B62" s="22"/>
      <c r="C62" s="31"/>
      <c r="D62" s="31"/>
    </row>
    <row r="63" spans="1:15" ht="20.25" x14ac:dyDescent="0.25">
      <c r="A63" s="103"/>
      <c r="B63" s="22"/>
      <c r="C63" s="31"/>
      <c r="D63" s="31"/>
    </row>
    <row r="64" spans="1:15" ht="20.25" x14ac:dyDescent="0.25">
      <c r="A64" s="103"/>
      <c r="B64" s="22"/>
      <c r="C64" s="31"/>
      <c r="D64" s="31"/>
    </row>
    <row r="65" spans="1:4" ht="20.25" x14ac:dyDescent="0.25">
      <c r="A65" s="103"/>
      <c r="B65" s="22"/>
      <c r="C65" s="31"/>
      <c r="D65" s="31"/>
    </row>
    <row r="66" spans="1:4" ht="20.25" x14ac:dyDescent="0.25">
      <c r="A66" s="103"/>
      <c r="B66" s="22"/>
      <c r="C66" s="31"/>
      <c r="D66" s="31"/>
    </row>
    <row r="67" spans="1:4" ht="20.25" x14ac:dyDescent="0.25">
      <c r="A67" s="103"/>
      <c r="B67" s="22"/>
      <c r="C67" s="31"/>
      <c r="D67" s="31"/>
    </row>
    <row r="68" spans="1:4" ht="20.25" x14ac:dyDescent="0.25">
      <c r="A68" s="103"/>
      <c r="B68" s="22"/>
      <c r="C68" s="31"/>
      <c r="D68" s="31"/>
    </row>
    <row r="69" spans="1:4" ht="20.25" x14ac:dyDescent="0.25">
      <c r="A69" s="103"/>
      <c r="B69" s="22"/>
      <c r="C69" s="31"/>
      <c r="D69" s="31"/>
    </row>
    <row r="70" spans="1:4" ht="20.25" x14ac:dyDescent="0.25">
      <c r="A70" s="103"/>
      <c r="B70" s="22"/>
      <c r="C70" s="31"/>
      <c r="D70" s="31"/>
    </row>
    <row r="71" spans="1:4" ht="20.25" x14ac:dyDescent="0.25">
      <c r="A71" s="103"/>
      <c r="B71" s="22"/>
      <c r="C71" s="31"/>
      <c r="D71" s="31"/>
    </row>
    <row r="72" spans="1:4" ht="20.25" x14ac:dyDescent="0.25">
      <c r="A72" s="103"/>
      <c r="B72" s="22"/>
      <c r="C72" s="31"/>
      <c r="D72" s="31"/>
    </row>
    <row r="73" spans="1:4" ht="20.25" x14ac:dyDescent="0.25">
      <c r="A73" s="103"/>
      <c r="B73" s="22"/>
      <c r="C73" s="31"/>
      <c r="D73" s="31"/>
    </row>
    <row r="74" spans="1:4" ht="20.25" x14ac:dyDescent="0.25">
      <c r="A74" s="103"/>
      <c r="B74" s="22"/>
      <c r="C74" s="31"/>
      <c r="D74" s="31"/>
    </row>
    <row r="75" spans="1:4" ht="20.25" x14ac:dyDescent="0.25">
      <c r="A75" s="103"/>
      <c r="B75" s="22"/>
      <c r="C75" s="31"/>
      <c r="D75" s="31"/>
    </row>
    <row r="76" spans="1:4" ht="20.25" x14ac:dyDescent="0.25">
      <c r="A76" s="103"/>
      <c r="B76" s="22"/>
      <c r="C76" s="31"/>
      <c r="D76" s="31"/>
    </row>
    <row r="77" spans="1:4" ht="20.25" x14ac:dyDescent="0.25">
      <c r="A77" s="103"/>
      <c r="B77" s="22"/>
      <c r="C77" s="31"/>
      <c r="D77" s="31"/>
    </row>
    <row r="78" spans="1:4" ht="20.25" x14ac:dyDescent="0.25">
      <c r="A78" s="103"/>
      <c r="B78" s="22"/>
      <c r="C78" s="31"/>
      <c r="D78" s="31"/>
    </row>
    <row r="79" spans="1:4" ht="20.25" x14ac:dyDescent="0.25">
      <c r="A79" s="103"/>
      <c r="B79" s="22"/>
      <c r="C79" s="31"/>
      <c r="D79" s="31"/>
    </row>
    <row r="80" spans="1:4" ht="20.25" x14ac:dyDescent="0.25">
      <c r="A80" s="103"/>
      <c r="B80" s="22"/>
      <c r="C80" s="31"/>
      <c r="D80" s="31"/>
    </row>
    <row r="81" spans="1:4" ht="20.25" x14ac:dyDescent="0.25">
      <c r="A81" s="103"/>
      <c r="B81" s="22"/>
      <c r="C81" s="31"/>
      <c r="D81" s="31"/>
    </row>
    <row r="82" spans="1:4" ht="20.25" x14ac:dyDescent="0.25">
      <c r="A82" s="103"/>
      <c r="B82" s="22"/>
      <c r="C82" s="31"/>
      <c r="D82" s="31"/>
    </row>
    <row r="83" spans="1:4" ht="20.25" x14ac:dyDescent="0.25">
      <c r="A83" s="103"/>
      <c r="B83" s="22"/>
      <c r="C83" s="31"/>
      <c r="D83" s="31"/>
    </row>
    <row r="84" spans="1:4" ht="20.25" x14ac:dyDescent="0.25">
      <c r="A84" s="103"/>
      <c r="B84" s="22"/>
      <c r="C84" s="31"/>
      <c r="D84" s="31"/>
    </row>
    <row r="85" spans="1:4" ht="20.25" x14ac:dyDescent="0.25">
      <c r="A85" s="103"/>
      <c r="B85" s="22"/>
      <c r="C85" s="31"/>
      <c r="D85" s="31"/>
    </row>
    <row r="86" spans="1:4" ht="20.25" x14ac:dyDescent="0.25">
      <c r="A86" s="103"/>
      <c r="B86" s="22"/>
      <c r="C86" s="31"/>
      <c r="D86" s="31"/>
    </row>
    <row r="87" spans="1:4" ht="20.25" x14ac:dyDescent="0.25">
      <c r="A87" s="103"/>
      <c r="B87" s="22"/>
      <c r="C87" s="31"/>
      <c r="D87" s="31"/>
    </row>
    <row r="88" spans="1:4" ht="20.25" x14ac:dyDescent="0.25">
      <c r="A88" s="103"/>
      <c r="B88" s="22"/>
      <c r="C88" s="31"/>
      <c r="D88" s="31"/>
    </row>
    <row r="89" spans="1:4" ht="20.25" x14ac:dyDescent="0.25">
      <c r="A89" s="103"/>
      <c r="B89" s="22"/>
      <c r="C89" s="31"/>
      <c r="D89" s="31"/>
    </row>
    <row r="90" spans="1:4" ht="20.25" x14ac:dyDescent="0.25">
      <c r="A90" s="103"/>
      <c r="B90" s="22"/>
      <c r="C90" s="31"/>
      <c r="D90" s="31"/>
    </row>
    <row r="91" spans="1:4" ht="20.25" x14ac:dyDescent="0.25">
      <c r="A91" s="103"/>
      <c r="B91" s="22"/>
      <c r="C91" s="31"/>
      <c r="D91" s="31"/>
    </row>
    <row r="92" spans="1:4" ht="20.25" x14ac:dyDescent="0.25">
      <c r="A92" s="103"/>
      <c r="B92" s="22"/>
      <c r="C92" s="31"/>
      <c r="D92" s="31"/>
    </row>
    <row r="93" spans="1:4" ht="20.25" x14ac:dyDescent="0.25">
      <c r="A93" s="103"/>
      <c r="B93" s="22"/>
      <c r="C93" s="31"/>
      <c r="D93" s="31"/>
    </row>
    <row r="94" spans="1:4" ht="20.25" x14ac:dyDescent="0.25">
      <c r="A94" s="103"/>
      <c r="B94" s="22"/>
      <c r="C94" s="31"/>
      <c r="D94" s="31"/>
    </row>
    <row r="95" spans="1:4" ht="20.25" x14ac:dyDescent="0.25">
      <c r="A95" s="103"/>
      <c r="B95" s="22"/>
      <c r="C95" s="31"/>
      <c r="D95" s="31"/>
    </row>
    <row r="96" spans="1:4" ht="20.25" x14ac:dyDescent="0.25">
      <c r="A96" s="103"/>
      <c r="B96" s="22"/>
      <c r="C96" s="31"/>
      <c r="D96" s="31"/>
    </row>
    <row r="97" spans="1:4" ht="20.25" x14ac:dyDescent="0.25">
      <c r="A97" s="103"/>
      <c r="B97" s="22"/>
      <c r="C97" s="31"/>
      <c r="D97" s="31"/>
    </row>
    <row r="98" spans="1:4" ht="20.25" x14ac:dyDescent="0.25">
      <c r="A98" s="103"/>
      <c r="B98" s="22"/>
      <c r="C98" s="31"/>
      <c r="D98" s="31"/>
    </row>
    <row r="99" spans="1:4" ht="20.25" x14ac:dyDescent="0.25">
      <c r="A99" s="103"/>
      <c r="B99" s="22"/>
      <c r="C99" s="31"/>
      <c r="D99" s="31"/>
    </row>
    <row r="100" spans="1:4" ht="20.25" x14ac:dyDescent="0.25">
      <c r="A100" s="103"/>
      <c r="B100" s="22"/>
      <c r="C100" s="31"/>
      <c r="D100" s="31"/>
    </row>
    <row r="101" spans="1:4" ht="20.25" x14ac:dyDescent="0.25">
      <c r="A101" s="103"/>
      <c r="B101" s="22"/>
      <c r="C101" s="31"/>
      <c r="D101" s="31"/>
    </row>
    <row r="102" spans="1:4" ht="20.25" x14ac:dyDescent="0.25">
      <c r="A102" s="103"/>
      <c r="B102" s="22"/>
      <c r="C102" s="31"/>
      <c r="D102" s="31"/>
    </row>
    <row r="103" spans="1:4" ht="20.25" x14ac:dyDescent="0.25">
      <c r="A103" s="103"/>
      <c r="B103" s="22"/>
      <c r="C103" s="31"/>
      <c r="D103" s="31"/>
    </row>
    <row r="104" spans="1:4" ht="20.25" x14ac:dyDescent="0.25">
      <c r="A104" s="103"/>
      <c r="B104" s="22"/>
      <c r="C104" s="31"/>
      <c r="D104" s="31"/>
    </row>
    <row r="105" spans="1:4" ht="20.25" x14ac:dyDescent="0.25">
      <c r="A105" s="103"/>
      <c r="B105" s="22"/>
      <c r="C105" s="31"/>
      <c r="D105" s="31"/>
    </row>
    <row r="106" spans="1:4" ht="20.25" x14ac:dyDescent="0.25">
      <c r="A106" s="103"/>
      <c r="B106" s="22"/>
      <c r="C106" s="31"/>
      <c r="D106" s="31"/>
    </row>
    <row r="107" spans="1:4" ht="20.25" x14ac:dyDescent="0.25">
      <c r="A107" s="103"/>
      <c r="B107" s="22"/>
      <c r="C107" s="31"/>
      <c r="D107" s="31"/>
    </row>
    <row r="108" spans="1:4" ht="20.25" x14ac:dyDescent="0.25">
      <c r="A108" s="103"/>
      <c r="B108" s="22"/>
      <c r="C108" s="31"/>
      <c r="D108" s="31"/>
    </row>
    <row r="109" spans="1:4" ht="20.25" x14ac:dyDescent="0.25">
      <c r="A109" s="103"/>
      <c r="B109" s="22"/>
      <c r="C109" s="31"/>
      <c r="D109" s="31"/>
    </row>
    <row r="110" spans="1:4" ht="20.25" x14ac:dyDescent="0.25">
      <c r="A110" s="103"/>
      <c r="B110" s="22"/>
      <c r="C110" s="31"/>
      <c r="D110" s="31"/>
    </row>
    <row r="111" spans="1:4" ht="20.25" x14ac:dyDescent="0.25">
      <c r="A111" s="103"/>
      <c r="B111" s="22"/>
      <c r="C111" s="31"/>
      <c r="D111" s="31"/>
    </row>
    <row r="112" spans="1:4" ht="20.25" x14ac:dyDescent="0.25">
      <c r="A112" s="103"/>
      <c r="B112" s="22"/>
      <c r="C112" s="31"/>
      <c r="D112" s="31"/>
    </row>
    <row r="113" spans="1:4" ht="20.25" x14ac:dyDescent="0.25">
      <c r="A113" s="103"/>
      <c r="B113" s="22"/>
      <c r="C113" s="31"/>
      <c r="D113" s="31"/>
    </row>
    <row r="114" spans="1:4" ht="20.25" x14ac:dyDescent="0.25">
      <c r="A114" s="103"/>
      <c r="B114" s="22"/>
      <c r="C114" s="31"/>
      <c r="D114" s="31"/>
    </row>
    <row r="115" spans="1:4" ht="20.25" x14ac:dyDescent="0.25">
      <c r="A115" s="103"/>
      <c r="B115" s="22"/>
      <c r="C115" s="31"/>
      <c r="D115" s="31"/>
    </row>
    <row r="116" spans="1:4" ht="20.25" x14ac:dyDescent="0.25">
      <c r="A116" s="103"/>
      <c r="B116" s="22"/>
      <c r="C116" s="31"/>
      <c r="D116" s="31"/>
    </row>
    <row r="117" spans="1:4" ht="20.25" x14ac:dyDescent="0.25">
      <c r="A117" s="103"/>
      <c r="B117" s="22"/>
      <c r="C117" s="31"/>
      <c r="D117" s="31"/>
    </row>
    <row r="118" spans="1:4" ht="20.25" x14ac:dyDescent="0.25">
      <c r="A118" s="103"/>
      <c r="B118" s="22"/>
      <c r="C118" s="31"/>
      <c r="D118" s="31"/>
    </row>
    <row r="119" spans="1:4" ht="20.25" x14ac:dyDescent="0.25">
      <c r="A119" s="103"/>
      <c r="B119" s="22"/>
      <c r="C119" s="31"/>
      <c r="D119" s="31"/>
    </row>
    <row r="120" spans="1:4" ht="20.25" x14ac:dyDescent="0.25">
      <c r="A120" s="103"/>
      <c r="B120" s="22"/>
      <c r="C120" s="31"/>
      <c r="D120" s="31"/>
    </row>
    <row r="121" spans="1:4" ht="20.25" x14ac:dyDescent="0.25">
      <c r="A121" s="103"/>
      <c r="B121" s="22"/>
      <c r="C121" s="31"/>
      <c r="D121" s="31"/>
    </row>
    <row r="122" spans="1:4" ht="20.25" x14ac:dyDescent="0.25">
      <c r="A122" s="103"/>
      <c r="B122" s="22"/>
      <c r="C122" s="31"/>
      <c r="D122" s="31"/>
    </row>
    <row r="123" spans="1:4" ht="20.25" x14ac:dyDescent="0.25">
      <c r="A123" s="103"/>
      <c r="B123" s="22"/>
      <c r="C123" s="31"/>
      <c r="D123" s="31"/>
    </row>
    <row r="124" spans="1:4" ht="20.25" x14ac:dyDescent="0.25">
      <c r="A124" s="103"/>
      <c r="B124" s="22"/>
      <c r="C124" s="31"/>
      <c r="D124" s="31"/>
    </row>
    <row r="125" spans="1:4" ht="20.25" x14ac:dyDescent="0.25">
      <c r="A125" s="103"/>
      <c r="B125" s="22"/>
      <c r="C125" s="31"/>
      <c r="D125" s="31"/>
    </row>
    <row r="126" spans="1:4" ht="20.25" x14ac:dyDescent="0.25">
      <c r="A126" s="103"/>
      <c r="B126" s="22"/>
      <c r="C126" s="31"/>
      <c r="D126" s="31"/>
    </row>
    <row r="127" spans="1:4" ht="20.25" x14ac:dyDescent="0.25">
      <c r="A127" s="103"/>
      <c r="B127" s="22"/>
      <c r="C127" s="31"/>
      <c r="D127" s="31"/>
    </row>
    <row r="128" spans="1:4" ht="20.25" x14ac:dyDescent="0.25">
      <c r="A128" s="103"/>
      <c r="B128" s="22"/>
      <c r="C128" s="31"/>
      <c r="D128" s="31"/>
    </row>
    <row r="129" spans="1:4" ht="20.25" x14ac:dyDescent="0.25">
      <c r="A129" s="103"/>
      <c r="B129" s="22"/>
      <c r="C129" s="31"/>
      <c r="D129" s="31"/>
    </row>
    <row r="130" spans="1:4" ht="20.25" x14ac:dyDescent="0.25">
      <c r="A130" s="103"/>
      <c r="B130" s="22"/>
      <c r="C130" s="31"/>
      <c r="D130" s="31"/>
    </row>
    <row r="131" spans="1:4" ht="20.25" x14ac:dyDescent="0.25">
      <c r="A131" s="103"/>
      <c r="B131" s="22"/>
      <c r="C131" s="31"/>
      <c r="D131" s="31"/>
    </row>
    <row r="132" spans="1:4" ht="20.25" x14ac:dyDescent="0.25">
      <c r="A132" s="103"/>
      <c r="B132" s="22"/>
      <c r="C132" s="31"/>
      <c r="D132" s="31"/>
    </row>
    <row r="133" spans="1:4" ht="20.25" x14ac:dyDescent="0.25">
      <c r="A133" s="103"/>
      <c r="B133" s="22"/>
      <c r="C133" s="31"/>
      <c r="D133" s="31"/>
    </row>
    <row r="134" spans="1:4" ht="20.25" x14ac:dyDescent="0.25">
      <c r="A134" s="103"/>
      <c r="B134" s="22"/>
      <c r="C134" s="31"/>
      <c r="D134" s="31"/>
    </row>
    <row r="135" spans="1:4" ht="20.25" x14ac:dyDescent="0.25">
      <c r="A135" s="103"/>
      <c r="B135" s="22"/>
      <c r="C135" s="31"/>
      <c r="D135" s="31"/>
    </row>
    <row r="136" spans="1:4" ht="20.25" x14ac:dyDescent="0.25">
      <c r="A136" s="103"/>
      <c r="B136" s="22"/>
      <c r="C136" s="31"/>
      <c r="D136" s="31"/>
    </row>
    <row r="137" spans="1:4" ht="20.25" x14ac:dyDescent="0.25">
      <c r="A137" s="103"/>
      <c r="B137" s="22"/>
      <c r="C137" s="31"/>
      <c r="D137" s="31"/>
    </row>
    <row r="138" spans="1:4" ht="20.25" x14ac:dyDescent="0.25">
      <c r="A138" s="103"/>
      <c r="B138" s="22"/>
      <c r="C138" s="31"/>
      <c r="D138" s="31"/>
    </row>
    <row r="139" spans="1:4" ht="20.25" x14ac:dyDescent="0.25">
      <c r="A139" s="103"/>
      <c r="B139" s="22"/>
      <c r="C139" s="31"/>
      <c r="D139" s="31"/>
    </row>
    <row r="140" spans="1:4" ht="20.25" x14ac:dyDescent="0.25">
      <c r="A140" s="103"/>
      <c r="B140" s="22"/>
      <c r="C140" s="31"/>
      <c r="D140" s="31"/>
    </row>
    <row r="141" spans="1:4" ht="20.25" x14ac:dyDescent="0.25">
      <c r="A141" s="103"/>
      <c r="B141" s="22"/>
      <c r="C141" s="31"/>
      <c r="D141" s="31"/>
    </row>
    <row r="142" spans="1:4" ht="20.25" x14ac:dyDescent="0.25">
      <c r="A142" s="103"/>
      <c r="B142" s="22"/>
      <c r="C142" s="31"/>
      <c r="D142" s="31"/>
    </row>
    <row r="143" spans="1:4" ht="20.25" x14ac:dyDescent="0.25">
      <c r="A143" s="103"/>
      <c r="B143" s="22"/>
      <c r="C143" s="31"/>
      <c r="D143" s="31"/>
    </row>
    <row r="144" spans="1:4" ht="20.25" x14ac:dyDescent="0.25">
      <c r="A144" s="103"/>
      <c r="B144" s="22"/>
      <c r="C144" s="31"/>
      <c r="D144" s="31"/>
    </row>
    <row r="145" spans="1:4" ht="20.25" x14ac:dyDescent="0.25">
      <c r="A145" s="103"/>
      <c r="B145" s="22"/>
      <c r="C145" s="31"/>
      <c r="D145" s="31"/>
    </row>
    <row r="146" spans="1:4" ht="20.25" x14ac:dyDescent="0.25">
      <c r="A146" s="103"/>
      <c r="B146" s="22"/>
      <c r="C146" s="31"/>
      <c r="D146" s="31"/>
    </row>
    <row r="147" spans="1:4" ht="20.25" x14ac:dyDescent="0.25">
      <c r="A147" s="103"/>
      <c r="B147" s="22"/>
      <c r="C147" s="31"/>
      <c r="D147" s="31"/>
    </row>
    <row r="148" spans="1:4" ht="20.25" x14ac:dyDescent="0.25">
      <c r="A148" s="103"/>
      <c r="B148" s="22"/>
      <c r="C148" s="31"/>
      <c r="D148" s="31"/>
    </row>
    <row r="149" spans="1:4" ht="20.25" x14ac:dyDescent="0.25">
      <c r="A149" s="103"/>
      <c r="B149" s="22"/>
      <c r="C149" s="31"/>
      <c r="D149" s="31"/>
    </row>
    <row r="150" spans="1:4" ht="20.25" x14ac:dyDescent="0.25">
      <c r="A150" s="103"/>
      <c r="B150" s="22"/>
      <c r="C150" s="31"/>
      <c r="D150" s="31"/>
    </row>
    <row r="151" spans="1:4" ht="20.25" x14ac:dyDescent="0.25">
      <c r="A151" s="103"/>
      <c r="B151" s="22"/>
      <c r="C151" s="31"/>
      <c r="D151" s="31"/>
    </row>
    <row r="152" spans="1:4" ht="20.25" x14ac:dyDescent="0.25">
      <c r="A152" s="103"/>
      <c r="B152" s="22"/>
      <c r="C152" s="31"/>
      <c r="D152" s="31"/>
    </row>
    <row r="153" spans="1:4" ht="20.25" x14ac:dyDescent="0.25">
      <c r="A153" s="103"/>
      <c r="B153" s="22"/>
      <c r="C153" s="31"/>
      <c r="D153" s="31"/>
    </row>
    <row r="154" spans="1:4" ht="20.25" x14ac:dyDescent="0.25">
      <c r="A154" s="103"/>
      <c r="B154" s="22"/>
      <c r="C154" s="31"/>
      <c r="D154" s="31"/>
    </row>
    <row r="155" spans="1:4" ht="20.25" x14ac:dyDescent="0.25">
      <c r="A155" s="103"/>
      <c r="B155" s="22"/>
      <c r="C155" s="31"/>
      <c r="D155" s="31"/>
    </row>
    <row r="156" spans="1:4" ht="20.25" x14ac:dyDescent="0.25">
      <c r="A156" s="103"/>
      <c r="B156" s="22"/>
      <c r="C156" s="31"/>
      <c r="D156" s="31"/>
    </row>
    <row r="157" spans="1:4" ht="20.25" x14ac:dyDescent="0.25">
      <c r="A157" s="103"/>
      <c r="B157" s="22"/>
      <c r="C157" s="31"/>
      <c r="D157" s="31"/>
    </row>
    <row r="158" spans="1:4" ht="20.25" x14ac:dyDescent="0.25">
      <c r="A158" s="103"/>
      <c r="B158" s="22"/>
      <c r="C158" s="31"/>
      <c r="D158" s="31"/>
    </row>
    <row r="159" spans="1:4" ht="20.25" x14ac:dyDescent="0.25">
      <c r="A159" s="103"/>
      <c r="B159" s="22"/>
      <c r="C159" s="31"/>
      <c r="D159" s="31"/>
    </row>
    <row r="160" spans="1:4" ht="20.25" x14ac:dyDescent="0.25">
      <c r="A160" s="103"/>
      <c r="B160" s="22"/>
      <c r="C160" s="31"/>
      <c r="D160" s="31"/>
    </row>
    <row r="161" spans="1:4" ht="20.25" x14ac:dyDescent="0.25">
      <c r="A161" s="103"/>
      <c r="B161" s="22"/>
      <c r="C161" s="31"/>
      <c r="D161" s="31"/>
    </row>
    <row r="162" spans="1:4" ht="20.25" x14ac:dyDescent="0.25">
      <c r="A162" s="103"/>
      <c r="B162" s="22"/>
      <c r="C162" s="31"/>
      <c r="D162" s="31"/>
    </row>
    <row r="163" spans="1:4" ht="20.25" x14ac:dyDescent="0.25">
      <c r="A163" s="103"/>
      <c r="B163" s="22"/>
      <c r="C163" s="31"/>
      <c r="D163" s="31"/>
    </row>
    <row r="164" spans="1:4" ht="20.25" x14ac:dyDescent="0.25">
      <c r="A164" s="103"/>
      <c r="B164" s="22"/>
      <c r="C164" s="31"/>
      <c r="D164" s="31"/>
    </row>
    <row r="165" spans="1:4" ht="20.25" x14ac:dyDescent="0.25">
      <c r="A165" s="103"/>
      <c r="B165" s="22"/>
      <c r="C165" s="31"/>
      <c r="D165" s="31"/>
    </row>
    <row r="166" spans="1:4" ht="20.25" x14ac:dyDescent="0.25">
      <c r="A166" s="103"/>
      <c r="B166" s="22"/>
      <c r="C166" s="31"/>
      <c r="D166" s="31"/>
    </row>
    <row r="167" spans="1:4" ht="20.25" x14ac:dyDescent="0.25">
      <c r="A167" s="103"/>
      <c r="B167" s="22"/>
      <c r="C167" s="31"/>
      <c r="D167" s="31"/>
    </row>
    <row r="168" spans="1:4" ht="20.25" x14ac:dyDescent="0.25">
      <c r="A168" s="103"/>
      <c r="B168" s="22"/>
      <c r="C168" s="31"/>
      <c r="D168" s="31"/>
    </row>
    <row r="169" spans="1:4" ht="20.25" x14ac:dyDescent="0.25">
      <c r="A169" s="103"/>
      <c r="B169" s="22"/>
      <c r="C169" s="31"/>
      <c r="D169" s="31"/>
    </row>
    <row r="170" spans="1:4" ht="20.25" x14ac:dyDescent="0.25">
      <c r="A170" s="103"/>
      <c r="B170" s="22"/>
      <c r="C170" s="31"/>
      <c r="D170" s="31"/>
    </row>
    <row r="171" spans="1:4" ht="20.25" x14ac:dyDescent="0.25">
      <c r="A171" s="103"/>
      <c r="B171" s="22"/>
      <c r="C171" s="31"/>
      <c r="D171" s="31"/>
    </row>
    <row r="172" spans="1:4" ht="20.25" x14ac:dyDescent="0.25">
      <c r="A172" s="103"/>
      <c r="B172" s="22"/>
      <c r="C172" s="31"/>
      <c r="D172" s="31"/>
    </row>
    <row r="173" spans="1:4" ht="20.25" x14ac:dyDescent="0.25">
      <c r="A173" s="103"/>
      <c r="B173" s="22"/>
      <c r="C173" s="31"/>
      <c r="D173" s="31"/>
    </row>
    <row r="174" spans="1:4" ht="20.25" x14ac:dyDescent="0.25">
      <c r="A174" s="103"/>
      <c r="B174" s="22"/>
      <c r="C174" s="31"/>
      <c r="D174" s="31"/>
    </row>
    <row r="175" spans="1:4" ht="20.25" x14ac:dyDescent="0.25">
      <c r="A175" s="103"/>
      <c r="B175" s="22"/>
      <c r="C175" s="31"/>
      <c r="D175" s="31"/>
    </row>
    <row r="176" spans="1:4" ht="20.25" x14ac:dyDescent="0.25">
      <c r="A176" s="103"/>
      <c r="B176" s="22"/>
      <c r="C176" s="31"/>
      <c r="D176" s="31"/>
    </row>
    <row r="177" spans="1:4" ht="20.25" x14ac:dyDescent="0.25">
      <c r="A177" s="103"/>
      <c r="B177" s="22"/>
      <c r="C177" s="31"/>
      <c r="D177" s="31"/>
    </row>
    <row r="178" spans="1:4" ht="20.25" x14ac:dyDescent="0.25">
      <c r="A178" s="103"/>
      <c r="B178" s="22"/>
      <c r="C178" s="31"/>
      <c r="D178" s="31"/>
    </row>
    <row r="179" spans="1:4" ht="20.25" x14ac:dyDescent="0.25">
      <c r="A179" s="103"/>
      <c r="B179" s="22"/>
      <c r="C179" s="31"/>
      <c r="D179" s="31"/>
    </row>
    <row r="180" spans="1:4" ht="20.25" x14ac:dyDescent="0.25">
      <c r="A180" s="103"/>
      <c r="B180" s="22"/>
      <c r="C180" s="31"/>
      <c r="D180" s="31"/>
    </row>
    <row r="181" spans="1:4" ht="20.25" x14ac:dyDescent="0.25">
      <c r="A181" s="103"/>
      <c r="B181" s="22"/>
      <c r="C181" s="31"/>
      <c r="D181" s="31"/>
    </row>
    <row r="182" spans="1:4" ht="20.25" x14ac:dyDescent="0.25">
      <c r="A182" s="103"/>
      <c r="B182" s="22"/>
      <c r="C182" s="31"/>
      <c r="D182" s="31"/>
    </row>
    <row r="183" spans="1:4" ht="20.25" x14ac:dyDescent="0.25">
      <c r="A183" s="103"/>
      <c r="B183" s="22"/>
      <c r="C183" s="31"/>
      <c r="D183" s="31"/>
    </row>
    <row r="184" spans="1:4" ht="20.25" x14ac:dyDescent="0.25">
      <c r="A184" s="103"/>
      <c r="B184" s="22"/>
      <c r="C184" s="31"/>
      <c r="D184" s="31"/>
    </row>
    <row r="185" spans="1:4" ht="20.25" x14ac:dyDescent="0.25">
      <c r="A185" s="103"/>
      <c r="B185" s="22"/>
      <c r="C185" s="31"/>
      <c r="D185" s="31"/>
    </row>
    <row r="186" spans="1:4" ht="20.25" x14ac:dyDescent="0.25">
      <c r="A186" s="103"/>
      <c r="B186" s="22"/>
      <c r="C186" s="31"/>
      <c r="D186" s="31"/>
    </row>
    <row r="187" spans="1:4" ht="20.25" x14ac:dyDescent="0.25">
      <c r="A187" s="103"/>
      <c r="B187" s="22"/>
      <c r="C187" s="31"/>
      <c r="D187" s="31"/>
    </row>
    <row r="188" spans="1:4" ht="20.25" x14ac:dyDescent="0.25">
      <c r="A188" s="103"/>
      <c r="B188" s="22"/>
      <c r="C188" s="31"/>
      <c r="D188" s="31"/>
    </row>
    <row r="189" spans="1:4" ht="20.25" x14ac:dyDescent="0.25">
      <c r="A189" s="103"/>
      <c r="B189" s="22"/>
      <c r="C189" s="31"/>
      <c r="D189" s="31"/>
    </row>
    <row r="190" spans="1:4" ht="20.25" x14ac:dyDescent="0.25">
      <c r="A190" s="103"/>
      <c r="B190" s="22"/>
      <c r="C190" s="31"/>
      <c r="D190" s="31"/>
    </row>
    <row r="191" spans="1:4" ht="20.25" x14ac:dyDescent="0.25">
      <c r="A191" s="103"/>
      <c r="B191" s="22"/>
      <c r="C191" s="31"/>
      <c r="D191" s="31"/>
    </row>
    <row r="192" spans="1:4" ht="20.25" x14ac:dyDescent="0.25">
      <c r="A192" s="103"/>
      <c r="B192" s="22"/>
      <c r="C192" s="31"/>
      <c r="D192" s="31"/>
    </row>
    <row r="193" spans="1:4" ht="20.25" x14ac:dyDescent="0.25">
      <c r="A193" s="103"/>
      <c r="B193" s="22"/>
      <c r="C193" s="31"/>
      <c r="D193" s="31"/>
    </row>
    <row r="194" spans="1:4" ht="20.25" x14ac:dyDescent="0.25">
      <c r="A194" s="103"/>
      <c r="B194" s="22"/>
      <c r="C194" s="31"/>
      <c r="D194" s="31"/>
    </row>
    <row r="195" spans="1:4" ht="20.25" x14ac:dyDescent="0.25">
      <c r="A195" s="103"/>
      <c r="B195" s="22"/>
      <c r="C195" s="31"/>
      <c r="D195" s="31"/>
    </row>
    <row r="196" spans="1:4" ht="20.25" x14ac:dyDescent="0.25">
      <c r="A196" s="103"/>
      <c r="B196" s="22"/>
      <c r="C196" s="31"/>
      <c r="D196" s="31"/>
    </row>
    <row r="197" spans="1:4" ht="20.25" x14ac:dyDescent="0.25">
      <c r="A197" s="103"/>
      <c r="B197" s="22"/>
      <c r="C197" s="31"/>
      <c r="D197" s="31"/>
    </row>
    <row r="198" spans="1:4" ht="20.25" x14ac:dyDescent="0.25">
      <c r="A198" s="103"/>
      <c r="B198" s="22"/>
      <c r="C198" s="31"/>
      <c r="D198" s="31"/>
    </row>
    <row r="199" spans="1:4" ht="20.25" x14ac:dyDescent="0.25">
      <c r="A199" s="103"/>
      <c r="B199" s="22"/>
      <c r="C199" s="31"/>
      <c r="D199" s="31"/>
    </row>
    <row r="200" spans="1:4" ht="20.25" x14ac:dyDescent="0.25">
      <c r="A200" s="103"/>
      <c r="B200" s="22"/>
      <c r="C200" s="31"/>
      <c r="D200" s="31"/>
    </row>
    <row r="201" spans="1:4" ht="20.25" x14ac:dyDescent="0.25">
      <c r="A201" s="103"/>
      <c r="B201" s="22"/>
      <c r="C201" s="31"/>
      <c r="D201" s="31"/>
    </row>
    <row r="202" spans="1:4" ht="20.25" x14ac:dyDescent="0.25">
      <c r="A202" s="103"/>
      <c r="B202" s="22"/>
      <c r="C202" s="31"/>
      <c r="D202" s="31"/>
    </row>
    <row r="203" spans="1:4" ht="20.25" x14ac:dyDescent="0.25">
      <c r="A203" s="103"/>
      <c r="B203" s="22"/>
      <c r="C203" s="31"/>
      <c r="D203" s="31"/>
    </row>
    <row r="204" spans="1:4" ht="20.25" x14ac:dyDescent="0.25">
      <c r="A204" s="103"/>
      <c r="B204" s="22"/>
      <c r="C204" s="31"/>
      <c r="D204" s="31"/>
    </row>
    <row r="205" spans="1:4" ht="20.25" x14ac:dyDescent="0.25">
      <c r="A205" s="103"/>
      <c r="B205" s="22"/>
      <c r="C205" s="31"/>
      <c r="D205" s="31"/>
    </row>
    <row r="206" spans="1:4" ht="20.25" x14ac:dyDescent="0.25">
      <c r="A206" s="103"/>
      <c r="B206" s="22"/>
      <c r="C206" s="31"/>
      <c r="D206" s="31"/>
    </row>
    <row r="207" spans="1:4" ht="20.25" x14ac:dyDescent="0.25">
      <c r="A207" s="103"/>
      <c r="B207" s="22"/>
      <c r="C207" s="31"/>
      <c r="D207" s="31"/>
    </row>
    <row r="208" spans="1:4" x14ac:dyDescent="0.25">
      <c r="A208" s="87"/>
      <c r="B208" s="22"/>
      <c r="C208" s="22"/>
      <c r="D208" s="22"/>
    </row>
    <row r="209" spans="1:8" ht="20.25" x14ac:dyDescent="0.25">
      <c r="A209" s="87"/>
      <c r="B209" s="27" t="s">
        <v>509</v>
      </c>
      <c r="C209" s="27" t="s">
        <v>510</v>
      </c>
      <c r="D209" s="30" t="s">
        <v>509</v>
      </c>
      <c r="E209" s="30" t="s">
        <v>510</v>
      </c>
    </row>
    <row r="210" spans="1:8" ht="21" x14ac:dyDescent="0.35">
      <c r="A210" s="87"/>
      <c r="B210" s="28" t="s">
        <v>511</v>
      </c>
      <c r="C210" s="28" t="s">
        <v>512</v>
      </c>
      <c r="D210" t="s">
        <v>511</v>
      </c>
      <c r="F210" t="str">
        <f>IF(NOT(ISBLANK(D210)),D210,IF(NOT(ISBLANK(E210)),"     "&amp;E210,FALSE))</f>
        <v>Afectación Económica o presupuestal</v>
      </c>
      <c r="G210" t="s">
        <v>511</v>
      </c>
      <c r="H210" t="str">
        <f ca="1">IF(NOT(ISERROR(MATCH(G210,_xlfn.ANCHORARRAY(B221),0))),F223&amp;"Por favor no seleccionar los criterios de impacto",G210)</f>
        <v>Afectación Económica o presupuestal</v>
      </c>
    </row>
    <row r="211" spans="1:8" ht="21" x14ac:dyDescent="0.35">
      <c r="A211" s="87"/>
      <c r="B211" s="28" t="s">
        <v>511</v>
      </c>
      <c r="C211" s="28" t="s">
        <v>493</v>
      </c>
      <c r="E211" t="s">
        <v>512</v>
      </c>
      <c r="F211" t="str">
        <f t="shared" ref="F211:F221" si="0">IF(NOT(ISBLANK(D211)),D211,IF(NOT(ISBLANK(E211)),"     "&amp;E211,FALSE))</f>
        <v xml:space="preserve">     Afectación menor a 10 SMLMV .</v>
      </c>
    </row>
    <row r="212" spans="1:8" ht="21" x14ac:dyDescent="0.35">
      <c r="A212" s="87"/>
      <c r="B212" s="28" t="s">
        <v>511</v>
      </c>
      <c r="C212" s="28" t="s">
        <v>496</v>
      </c>
      <c r="E212" t="s">
        <v>493</v>
      </c>
      <c r="F212" t="str">
        <f t="shared" si="0"/>
        <v xml:space="preserve">     Entre 10 y 50 SMLMV </v>
      </c>
    </row>
    <row r="213" spans="1:8" ht="21" x14ac:dyDescent="0.35">
      <c r="A213" s="87"/>
      <c r="B213" s="28" t="s">
        <v>511</v>
      </c>
      <c r="C213" s="28" t="s">
        <v>499</v>
      </c>
      <c r="E213" t="s">
        <v>496</v>
      </c>
      <c r="F213" t="str">
        <f t="shared" si="0"/>
        <v xml:space="preserve">     Entre 50 y 100 SMLMV </v>
      </c>
    </row>
    <row r="214" spans="1:8" ht="21" x14ac:dyDescent="0.35">
      <c r="A214" s="87"/>
      <c r="B214" s="28" t="s">
        <v>511</v>
      </c>
      <c r="C214" s="28" t="s">
        <v>503</v>
      </c>
      <c r="E214" t="s">
        <v>499</v>
      </c>
      <c r="F214" t="str">
        <f t="shared" si="0"/>
        <v xml:space="preserve">     Entre 100 y 500 SMLMV </v>
      </c>
    </row>
    <row r="215" spans="1:8" ht="21" x14ac:dyDescent="0.35">
      <c r="A215" s="87"/>
      <c r="B215" s="28" t="s">
        <v>486</v>
      </c>
      <c r="C215" s="28" t="s">
        <v>490</v>
      </c>
      <c r="E215" t="s">
        <v>503</v>
      </c>
      <c r="F215" t="str">
        <f t="shared" si="0"/>
        <v xml:space="preserve">     Mayor a 500 SMLMV </v>
      </c>
    </row>
    <row r="216" spans="1:8" ht="21" x14ac:dyDescent="0.35">
      <c r="A216" s="87"/>
      <c r="B216" s="28" t="s">
        <v>486</v>
      </c>
      <c r="C216" s="28" t="s">
        <v>494</v>
      </c>
      <c r="D216" t="s">
        <v>486</v>
      </c>
      <c r="F216" t="str">
        <f t="shared" si="0"/>
        <v>Pérdida Reputacional</v>
      </c>
    </row>
    <row r="217" spans="1:8" ht="21" x14ac:dyDescent="0.35">
      <c r="A217" s="87"/>
      <c r="B217" s="28" t="s">
        <v>486</v>
      </c>
      <c r="C217" s="28" t="s">
        <v>497</v>
      </c>
      <c r="E217" t="s">
        <v>490</v>
      </c>
      <c r="F217" t="str">
        <f t="shared" si="0"/>
        <v xml:space="preserve">     El riesgo afecta la imagen de alguna área de la organización</v>
      </c>
    </row>
    <row r="218" spans="1:8" ht="21" x14ac:dyDescent="0.35">
      <c r="A218" s="87"/>
      <c r="B218" s="28" t="s">
        <v>486</v>
      </c>
      <c r="C218" s="28" t="s">
        <v>500</v>
      </c>
      <c r="E218" t="s">
        <v>494</v>
      </c>
      <c r="F218" t="str">
        <f t="shared" si="0"/>
        <v xml:space="preserve">     El riesgo afecta la imagen de la entidad internamente, de conocimiento general, nivel interno, de junta dircetiva y accionistas y/o de provedores</v>
      </c>
    </row>
    <row r="219" spans="1:8" ht="21" x14ac:dyDescent="0.35">
      <c r="A219" s="87"/>
      <c r="B219" s="28" t="s">
        <v>486</v>
      </c>
      <c r="C219" s="28" t="s">
        <v>504</v>
      </c>
      <c r="E219" t="s">
        <v>497</v>
      </c>
      <c r="F219" t="str">
        <f t="shared" si="0"/>
        <v xml:space="preserve">     El riesgo afecta la imagen de la entidad con algunos usuarios de relevancia frente al logro de los objetivos</v>
      </c>
    </row>
    <row r="220" spans="1:8" x14ac:dyDescent="0.25">
      <c r="A220" s="87"/>
      <c r="B220" s="29"/>
      <c r="C220" s="29"/>
      <c r="E220" t="s">
        <v>500</v>
      </c>
      <c r="F220" t="str">
        <f t="shared" si="0"/>
        <v xml:space="preserve">     El riesgo afecta la imagen de de la entidad con efecto publicitario sostenido a nivel de sector administrativo, nivel departamental o municipal</v>
      </c>
    </row>
    <row r="221" spans="1:8" x14ac:dyDescent="0.25">
      <c r="A221" s="87"/>
      <c r="B221" s="29" t="e" cm="1">
        <f t="array" aca="1" ref="B221:B223" ca="1">_xlfn.UNIQUE(Tabla1[[#All],[Criterios]])</f>
        <v>#NAME?</v>
      </c>
      <c r="C221" s="29"/>
      <c r="E221" t="s">
        <v>504</v>
      </c>
      <c r="F221" t="str">
        <f t="shared" si="0"/>
        <v xml:space="preserve">     El riesgo afecta la imagen de la entidad a nivel nacional, con efecto publicitarios sostenible a nivel país</v>
      </c>
    </row>
    <row r="222" spans="1:8" x14ac:dyDescent="0.25">
      <c r="A222" s="87"/>
      <c r="B222" s="29" t="e">
        <f ca="1"/>
        <v>#NAME?</v>
      </c>
      <c r="C222" s="29"/>
    </row>
    <row r="223" spans="1:8" x14ac:dyDescent="0.25">
      <c r="B223" s="29" t="e">
        <f ca="1"/>
        <v>#NAME?</v>
      </c>
      <c r="C223" s="29"/>
      <c r="F223" s="32" t="s">
        <v>513</v>
      </c>
    </row>
    <row r="224" spans="1:8" x14ac:dyDescent="0.25">
      <c r="B224" s="21"/>
      <c r="C224" s="21"/>
      <c r="F224" s="32" t="s">
        <v>514</v>
      </c>
    </row>
    <row r="225" spans="2:4" x14ac:dyDescent="0.25">
      <c r="B225" s="21"/>
      <c r="C225" s="21"/>
    </row>
    <row r="226" spans="2:4" x14ac:dyDescent="0.25">
      <c r="B226" s="21"/>
      <c r="C226" s="21"/>
    </row>
    <row r="227" spans="2:4" x14ac:dyDescent="0.25">
      <c r="B227" s="21"/>
      <c r="C227" s="21"/>
      <c r="D227" s="21"/>
    </row>
    <row r="228" spans="2:4" x14ac:dyDescent="0.25">
      <c r="B228" s="21"/>
      <c r="C228" s="21"/>
      <c r="D228" s="21"/>
    </row>
    <row r="229" spans="2:4" x14ac:dyDescent="0.25">
      <c r="B229" s="21"/>
      <c r="C229" s="21"/>
      <c r="D229" s="21"/>
    </row>
    <row r="230" spans="2:4" x14ac:dyDescent="0.25">
      <c r="B230" s="21"/>
      <c r="C230" s="21"/>
      <c r="D230" s="21"/>
    </row>
    <row r="231" spans="2:4" x14ac:dyDescent="0.25">
      <c r="B231" s="21"/>
      <c r="C231" s="21"/>
      <c r="D231" s="21"/>
    </row>
    <row r="232" spans="2:4" x14ac:dyDescent="0.25">
      <c r="B232" s="21"/>
      <c r="C232" s="21"/>
      <c r="D232" s="21"/>
    </row>
  </sheetData>
  <mergeCells count="1">
    <mergeCell ref="B1:D1"/>
  </mergeCells>
  <dataValidations disablePrompts="1" count="1">
    <dataValidation type="list" allowBlank="1" showInputMessage="1" showErrorMessage="1" sqref="G210" xr:uid="{00000000-0002-0000-0800-000000000000}">
      <formula1>$F$210:$F$221</formula1>
    </dataValidation>
  </dataValidations>
  <pageMargins left="0.7" right="0.7" top="0.75" bottom="0.75" header="0.3" footer="0.3"/>
  <pageSetup orientation="portrait"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7" tint="-0.249977111117893"/>
  </sheetPr>
  <dimension ref="B1:H16"/>
  <sheetViews>
    <sheetView topLeftCell="B1" workbookViewId="0">
      <selection activeCell="C2" sqref="C2"/>
    </sheetView>
  </sheetViews>
  <sheetFormatPr baseColWidth="10" defaultColWidth="14.28515625" defaultRowHeight="12.75" x14ac:dyDescent="0.2"/>
  <cols>
    <col min="1" max="2" width="14.28515625" style="92"/>
    <col min="3" max="3" width="17" style="92" customWidth="1"/>
    <col min="4" max="4" width="14.28515625" style="92"/>
    <col min="5" max="5" width="46" style="92" customWidth="1"/>
    <col min="6" max="16384" width="14.28515625" style="92"/>
  </cols>
  <sheetData>
    <row r="1" spans="2:8" ht="24" customHeight="1" thickBot="1" x14ac:dyDescent="0.25">
      <c r="B1" s="832" t="s">
        <v>515</v>
      </c>
      <c r="C1" s="833"/>
      <c r="D1" s="833"/>
      <c r="E1" s="833"/>
      <c r="F1" s="834"/>
    </row>
    <row r="2" spans="2:8" ht="16.5" thickBot="1" x14ac:dyDescent="0.3">
      <c r="B2" s="93"/>
      <c r="C2" s="93"/>
      <c r="D2" s="93"/>
      <c r="E2" s="93"/>
      <c r="F2" s="93"/>
    </row>
    <row r="3" spans="2:8" ht="16.5" thickBot="1" x14ac:dyDescent="0.25">
      <c r="B3" s="836" t="s">
        <v>516</v>
      </c>
      <c r="C3" s="837"/>
      <c r="D3" s="837"/>
      <c r="E3" s="306" t="s">
        <v>517</v>
      </c>
      <c r="F3" s="102" t="s">
        <v>518</v>
      </c>
    </row>
    <row r="4" spans="2:8" ht="31.5" x14ac:dyDescent="0.2">
      <c r="B4" s="838" t="s">
        <v>519</v>
      </c>
      <c r="C4" s="840" t="s">
        <v>131</v>
      </c>
      <c r="D4" s="307" t="s">
        <v>155</v>
      </c>
      <c r="E4" s="94" t="s">
        <v>520</v>
      </c>
      <c r="F4" s="95">
        <v>0.25</v>
      </c>
      <c r="H4" s="92" t="s">
        <v>154</v>
      </c>
    </row>
    <row r="5" spans="2:8" ht="47.25" x14ac:dyDescent="0.2">
      <c r="B5" s="839"/>
      <c r="C5" s="841"/>
      <c r="D5" s="308" t="s">
        <v>169</v>
      </c>
      <c r="E5" s="96" t="s">
        <v>521</v>
      </c>
      <c r="F5" s="97">
        <v>0.15</v>
      </c>
      <c r="H5" s="92" t="s">
        <v>49</v>
      </c>
    </row>
    <row r="6" spans="2:8" ht="47.25" x14ac:dyDescent="0.2">
      <c r="B6" s="839"/>
      <c r="C6" s="841"/>
      <c r="D6" s="308" t="s">
        <v>211</v>
      </c>
      <c r="E6" s="96" t="s">
        <v>522</v>
      </c>
      <c r="F6" s="97">
        <v>0.1</v>
      </c>
    </row>
    <row r="7" spans="2:8" ht="63" x14ac:dyDescent="0.2">
      <c r="B7" s="839"/>
      <c r="C7" s="841" t="s">
        <v>132</v>
      </c>
      <c r="D7" s="308" t="s">
        <v>295</v>
      </c>
      <c r="E7" s="96" t="s">
        <v>523</v>
      </c>
      <c r="F7" s="97">
        <v>0.25</v>
      </c>
    </row>
    <row r="8" spans="2:8" ht="31.5" x14ac:dyDescent="0.2">
      <c r="B8" s="839"/>
      <c r="C8" s="841"/>
      <c r="D8" s="308" t="s">
        <v>156</v>
      </c>
      <c r="E8" s="96" t="s">
        <v>524</v>
      </c>
      <c r="F8" s="97">
        <v>0.15</v>
      </c>
    </row>
    <row r="9" spans="2:8" ht="47.25" x14ac:dyDescent="0.2">
      <c r="B9" s="839" t="s">
        <v>525</v>
      </c>
      <c r="C9" s="841" t="s">
        <v>134</v>
      </c>
      <c r="D9" s="308" t="s">
        <v>157</v>
      </c>
      <c r="E9" s="96" t="s">
        <v>526</v>
      </c>
      <c r="F9" s="98" t="s">
        <v>278</v>
      </c>
    </row>
    <row r="10" spans="2:8" ht="63" x14ac:dyDescent="0.2">
      <c r="B10" s="839"/>
      <c r="C10" s="841"/>
      <c r="D10" s="308" t="s">
        <v>178</v>
      </c>
      <c r="E10" s="96" t="s">
        <v>527</v>
      </c>
      <c r="F10" s="98" t="s">
        <v>278</v>
      </c>
    </row>
    <row r="11" spans="2:8" ht="47.25" x14ac:dyDescent="0.2">
      <c r="B11" s="839"/>
      <c r="C11" s="841" t="s">
        <v>135</v>
      </c>
      <c r="D11" s="308" t="s">
        <v>158</v>
      </c>
      <c r="E11" s="96" t="s">
        <v>528</v>
      </c>
      <c r="F11" s="98" t="s">
        <v>278</v>
      </c>
    </row>
    <row r="12" spans="2:8" ht="47.25" x14ac:dyDescent="0.2">
      <c r="B12" s="839"/>
      <c r="C12" s="841"/>
      <c r="D12" s="308" t="s">
        <v>204</v>
      </c>
      <c r="E12" s="96" t="s">
        <v>529</v>
      </c>
      <c r="F12" s="98" t="s">
        <v>278</v>
      </c>
    </row>
    <row r="13" spans="2:8" ht="31.5" x14ac:dyDescent="0.2">
      <c r="B13" s="839"/>
      <c r="C13" s="841" t="s">
        <v>136</v>
      </c>
      <c r="D13" s="308" t="s">
        <v>159</v>
      </c>
      <c r="E13" s="96" t="s">
        <v>530</v>
      </c>
      <c r="F13" s="98" t="s">
        <v>278</v>
      </c>
    </row>
    <row r="14" spans="2:8" ht="32.25" thickBot="1" x14ac:dyDescent="0.25">
      <c r="B14" s="842"/>
      <c r="C14" s="843"/>
      <c r="D14" s="309" t="s">
        <v>190</v>
      </c>
      <c r="E14" s="99" t="s">
        <v>531</v>
      </c>
      <c r="F14" s="100" t="s">
        <v>278</v>
      </c>
    </row>
    <row r="15" spans="2:8" ht="49.5" customHeight="1" x14ac:dyDescent="0.2">
      <c r="B15" s="835" t="s">
        <v>532</v>
      </c>
      <c r="C15" s="835"/>
      <c r="D15" s="835"/>
      <c r="E15" s="835"/>
      <c r="F15" s="835"/>
    </row>
    <row r="16" spans="2:8" ht="27" customHeight="1" x14ac:dyDescent="0.25">
      <c r="B16" s="101"/>
    </row>
  </sheetData>
  <mergeCells count="10">
    <mergeCell ref="B1:F1"/>
    <mergeCell ref="B15:F15"/>
    <mergeCell ref="B3:D3"/>
    <mergeCell ref="B4:B8"/>
    <mergeCell ref="C4:C6"/>
    <mergeCell ref="C7:C8"/>
    <mergeCell ref="B9:B14"/>
    <mergeCell ref="C9:C10"/>
    <mergeCell ref="C11:C12"/>
    <mergeCell ref="C13:C1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B712F-F99B-470D-938C-CA5831FA34CA}">
  <sheetPr>
    <tabColor rgb="FF002060"/>
    <pageSetUpPr fitToPage="1"/>
  </sheetPr>
  <dimension ref="A1:BT17"/>
  <sheetViews>
    <sheetView view="pageBreakPreview" topLeftCell="A6" zoomScale="28" zoomScaleNormal="28" zoomScaleSheetLayoutView="28" workbookViewId="0">
      <selection activeCell="D9" sqref="D9:D14"/>
    </sheetView>
  </sheetViews>
  <sheetFormatPr baseColWidth="10" defaultColWidth="11.42578125" defaultRowHeight="16.5" x14ac:dyDescent="0.3"/>
  <cols>
    <col min="1" max="1" width="8.7109375" style="1" customWidth="1"/>
    <col min="2" max="2" width="25.42578125" style="1" customWidth="1"/>
    <col min="3" max="3" width="20.7109375" style="1" customWidth="1"/>
    <col min="4" max="4" width="7.140625" style="1" customWidth="1"/>
    <col min="5" max="5" width="4" style="2" customWidth="1"/>
    <col min="6" max="6" width="16.85546875" style="2" customWidth="1"/>
    <col min="7" max="7" width="17.7109375" style="2" customWidth="1"/>
    <col min="8" max="8" width="24.28515625" style="2" customWidth="1"/>
    <col min="9" max="9" width="28.140625" style="1" customWidth="1"/>
    <col min="10" max="10" width="19" style="5" customWidth="1"/>
    <col min="11" max="11" width="17.85546875" style="1" customWidth="1"/>
    <col min="12" max="12" width="20.42578125" style="1" customWidth="1"/>
    <col min="13" max="13" width="6.28515625" style="1" bestFit="1" customWidth="1"/>
    <col min="14" max="14" width="31.28515625" style="1" bestFit="1" customWidth="1"/>
    <col min="15" max="15" width="42.85546875" style="1" hidden="1" customWidth="1"/>
    <col min="16" max="16" width="20" style="1" customWidth="1"/>
    <col min="17" max="17" width="10.140625" style="1" customWidth="1"/>
    <col min="18" max="18" width="16" style="1" customWidth="1"/>
    <col min="19" max="19" width="5.85546875" style="1" customWidth="1"/>
    <col min="20" max="20" width="43.42578125" style="1" customWidth="1"/>
    <col min="21" max="21" width="17.42578125" style="1" customWidth="1"/>
    <col min="22" max="22" width="6.85546875" style="1" customWidth="1"/>
    <col min="23" max="23" width="5" style="1" customWidth="1"/>
    <col min="24" max="24" width="8.42578125" style="1" customWidth="1"/>
    <col min="25" max="25" width="7.140625" style="1" customWidth="1"/>
    <col min="26" max="26" width="6.7109375" style="1" customWidth="1"/>
    <col min="27" max="27" width="7.42578125" style="1" customWidth="1"/>
    <col min="28" max="28" width="12.42578125" style="1" customWidth="1"/>
    <col min="29" max="29" width="8.7109375" style="1" customWidth="1"/>
    <col min="30" max="30" width="8.28515625" style="1" bestFit="1" customWidth="1"/>
    <col min="31" max="31" width="9.28515625" style="1" customWidth="1"/>
    <col min="32" max="32" width="9.140625" style="1" customWidth="1"/>
    <col min="33" max="33" width="8.42578125" style="1" customWidth="1"/>
    <col min="34" max="34" width="7.28515625" style="1" customWidth="1"/>
    <col min="35" max="35" width="35.7109375" style="1" customWidth="1"/>
    <col min="36" max="36" width="22.140625" style="1" customWidth="1"/>
    <col min="37" max="37" width="25" style="1" customWidth="1"/>
    <col min="38" max="38" width="19.28515625" style="1" customWidth="1"/>
    <col min="39" max="39" width="36.42578125" style="1" customWidth="1"/>
    <col min="40" max="40" width="21" style="5" customWidth="1"/>
    <col min="41" max="43" width="24.42578125" style="1" customWidth="1"/>
    <col min="44" max="48" width="11.140625" style="5" customWidth="1"/>
    <col min="49" max="16384" width="11.42578125" style="1"/>
  </cols>
  <sheetData>
    <row r="1" spans="1:72" ht="48" customHeight="1" thickBot="1" x14ac:dyDescent="0.35">
      <c r="A1" s="600"/>
      <c r="B1" s="601"/>
      <c r="C1" s="601"/>
      <c r="D1" s="601"/>
      <c r="E1" s="601"/>
      <c r="F1" s="601"/>
      <c r="G1" s="601"/>
      <c r="H1" s="602"/>
      <c r="I1" s="579" t="s">
        <v>94</v>
      </c>
      <c r="J1" s="580"/>
      <c r="K1" s="580"/>
      <c r="L1" s="580"/>
      <c r="M1" s="580"/>
      <c r="N1" s="580"/>
      <c r="O1" s="580"/>
      <c r="P1" s="580"/>
      <c r="Q1" s="580"/>
      <c r="R1" s="580"/>
      <c r="S1" s="580"/>
      <c r="T1" s="580"/>
      <c r="U1" s="580"/>
      <c r="V1" s="580"/>
      <c r="W1" s="580"/>
      <c r="X1" s="580"/>
      <c r="Y1" s="580"/>
      <c r="Z1" s="580"/>
      <c r="AA1" s="580"/>
      <c r="AB1" s="580"/>
      <c r="AC1" s="580"/>
      <c r="AD1" s="580"/>
      <c r="AE1" s="580"/>
      <c r="AF1" s="580"/>
      <c r="AG1" s="580"/>
      <c r="AH1" s="580"/>
      <c r="AI1" s="580"/>
      <c r="AJ1" s="580"/>
      <c r="AK1" s="580"/>
      <c r="AL1" s="580"/>
      <c r="AM1" s="580"/>
      <c r="AN1" s="580"/>
      <c r="AO1" s="580"/>
      <c r="AP1" s="580"/>
      <c r="AQ1" s="581"/>
      <c r="AR1" s="585" t="s">
        <v>95</v>
      </c>
      <c r="AS1" s="586"/>
      <c r="AT1" s="586"/>
      <c r="AU1" s="586"/>
      <c r="AV1" s="587"/>
      <c r="AW1" s="7"/>
      <c r="AX1" s="7"/>
      <c r="AY1" s="7"/>
      <c r="AZ1" s="7"/>
      <c r="BA1" s="7"/>
      <c r="BB1" s="7"/>
      <c r="BC1" s="7"/>
      <c r="BD1" s="7"/>
      <c r="BE1" s="7"/>
      <c r="BF1" s="7"/>
      <c r="BG1" s="7"/>
      <c r="BH1" s="7"/>
      <c r="BI1" s="7"/>
      <c r="BJ1" s="7"/>
      <c r="BK1" s="7"/>
      <c r="BL1" s="7"/>
      <c r="BM1" s="7"/>
      <c r="BN1" s="7"/>
      <c r="BO1" s="7"/>
      <c r="BP1" s="7"/>
      <c r="BQ1" s="7" t="s">
        <v>0</v>
      </c>
      <c r="BR1" s="7"/>
      <c r="BS1" s="7"/>
      <c r="BT1" s="7"/>
    </row>
    <row r="2" spans="1:72" ht="48" customHeight="1" thickBot="1" x14ac:dyDescent="0.35">
      <c r="A2" s="603"/>
      <c r="B2" s="604"/>
      <c r="C2" s="604"/>
      <c r="D2" s="604"/>
      <c r="E2" s="604"/>
      <c r="F2" s="604"/>
      <c r="G2" s="604"/>
      <c r="H2" s="605"/>
      <c r="I2" s="582"/>
      <c r="J2" s="583"/>
      <c r="K2" s="583"/>
      <c r="L2" s="583"/>
      <c r="M2" s="583"/>
      <c r="N2" s="583"/>
      <c r="O2" s="583"/>
      <c r="P2" s="583"/>
      <c r="Q2" s="583"/>
      <c r="R2" s="583"/>
      <c r="S2" s="583"/>
      <c r="T2" s="583"/>
      <c r="U2" s="583"/>
      <c r="V2" s="583"/>
      <c r="W2" s="583"/>
      <c r="X2" s="583"/>
      <c r="Y2" s="583"/>
      <c r="Z2" s="583"/>
      <c r="AA2" s="583"/>
      <c r="AB2" s="583"/>
      <c r="AC2" s="583"/>
      <c r="AD2" s="583"/>
      <c r="AE2" s="583"/>
      <c r="AF2" s="583"/>
      <c r="AG2" s="583"/>
      <c r="AH2" s="583"/>
      <c r="AI2" s="583"/>
      <c r="AJ2" s="583"/>
      <c r="AK2" s="583"/>
      <c r="AL2" s="583"/>
      <c r="AM2" s="583"/>
      <c r="AN2" s="583"/>
      <c r="AO2" s="583"/>
      <c r="AP2" s="583"/>
      <c r="AQ2" s="584"/>
      <c r="AR2" s="585" t="s">
        <v>96</v>
      </c>
      <c r="AS2" s="586"/>
      <c r="AT2" s="586"/>
      <c r="AU2" s="586"/>
      <c r="AV2" s="587"/>
      <c r="AW2" s="7"/>
      <c r="AX2" s="7"/>
      <c r="AY2" s="7"/>
      <c r="AZ2" s="7"/>
      <c r="BA2" s="7"/>
      <c r="BB2" s="7"/>
      <c r="BC2" s="7"/>
      <c r="BD2" s="7"/>
      <c r="BE2" s="7"/>
      <c r="BF2" s="7"/>
      <c r="BG2" s="7"/>
      <c r="BH2" s="7"/>
      <c r="BI2" s="7"/>
      <c r="BJ2" s="7"/>
      <c r="BK2" s="7"/>
      <c r="BL2" s="7"/>
      <c r="BM2" s="7"/>
      <c r="BN2" s="7"/>
      <c r="BO2" s="7"/>
      <c r="BP2" s="7"/>
      <c r="BQ2" s="1" t="s">
        <v>97</v>
      </c>
      <c r="BR2" s="7"/>
      <c r="BS2" s="7"/>
      <c r="BT2" s="7"/>
    </row>
    <row r="3" spans="1:72" ht="48" customHeight="1" thickBot="1" x14ac:dyDescent="0.35">
      <c r="A3" s="603"/>
      <c r="B3" s="604"/>
      <c r="C3" s="604"/>
      <c r="D3" s="604"/>
      <c r="E3" s="604"/>
      <c r="F3" s="604"/>
      <c r="G3" s="604"/>
      <c r="H3" s="605"/>
      <c r="I3" s="582"/>
      <c r="J3" s="583"/>
      <c r="K3" s="583"/>
      <c r="L3" s="583"/>
      <c r="M3" s="583"/>
      <c r="N3" s="583"/>
      <c r="O3" s="583"/>
      <c r="P3" s="583"/>
      <c r="Q3" s="583"/>
      <c r="R3" s="583"/>
      <c r="S3" s="583"/>
      <c r="T3" s="583"/>
      <c r="U3" s="583"/>
      <c r="V3" s="583"/>
      <c r="W3" s="583"/>
      <c r="X3" s="583"/>
      <c r="Y3" s="583"/>
      <c r="Z3" s="583"/>
      <c r="AA3" s="583"/>
      <c r="AB3" s="583"/>
      <c r="AC3" s="583"/>
      <c r="AD3" s="583"/>
      <c r="AE3" s="583"/>
      <c r="AF3" s="583"/>
      <c r="AG3" s="583"/>
      <c r="AH3" s="583"/>
      <c r="AI3" s="583"/>
      <c r="AJ3" s="583"/>
      <c r="AK3" s="583"/>
      <c r="AL3" s="583"/>
      <c r="AM3" s="583"/>
      <c r="AN3" s="583"/>
      <c r="AO3" s="583"/>
      <c r="AP3" s="583"/>
      <c r="AQ3" s="584"/>
      <c r="AR3" s="588" t="s">
        <v>98</v>
      </c>
      <c r="AS3" s="589"/>
      <c r="AT3" s="589"/>
      <c r="AU3" s="589"/>
      <c r="AV3" s="590"/>
      <c r="AW3" s="7"/>
      <c r="AX3" s="7"/>
      <c r="AY3" s="7"/>
      <c r="AZ3" s="7"/>
      <c r="BA3" s="7"/>
      <c r="BB3" s="7"/>
      <c r="BC3" s="7"/>
      <c r="BD3" s="7"/>
      <c r="BE3" s="7"/>
      <c r="BF3" s="7"/>
      <c r="BG3" s="7"/>
      <c r="BH3" s="7"/>
      <c r="BI3" s="7"/>
      <c r="BJ3" s="7"/>
      <c r="BK3" s="7"/>
      <c r="BL3" s="7"/>
      <c r="BM3" s="7"/>
      <c r="BN3" s="7"/>
      <c r="BO3" s="7"/>
      <c r="BP3" s="7"/>
      <c r="BQ3" s="7" t="s">
        <v>99</v>
      </c>
      <c r="BR3" s="7"/>
      <c r="BS3" s="7"/>
      <c r="BT3" s="7"/>
    </row>
    <row r="4" spans="1:72" ht="33" customHeight="1" thickBot="1" x14ac:dyDescent="0.4">
      <c r="A4" s="537" t="s">
        <v>590</v>
      </c>
      <c r="B4" s="538"/>
      <c r="C4" s="538"/>
      <c r="D4" s="538"/>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9"/>
      <c r="AW4" s="7"/>
      <c r="AX4" s="7"/>
      <c r="AY4" s="7"/>
      <c r="AZ4" s="7"/>
      <c r="BA4" s="7"/>
      <c r="BB4" s="7"/>
      <c r="BC4" s="7"/>
      <c r="BD4" s="7"/>
      <c r="BE4" s="7"/>
      <c r="BF4" s="7"/>
      <c r="BG4" s="7"/>
      <c r="BH4" s="7"/>
      <c r="BI4" s="7"/>
      <c r="BJ4" s="7"/>
      <c r="BK4" s="7"/>
      <c r="BL4" s="7"/>
      <c r="BM4" s="7"/>
      <c r="BN4" s="7"/>
      <c r="BO4" s="7"/>
      <c r="BP4" s="7"/>
      <c r="BQ4" s="7"/>
      <c r="BR4" s="7"/>
      <c r="BS4" s="7"/>
      <c r="BT4" s="7"/>
    </row>
    <row r="5" spans="1:72" ht="133.5" customHeight="1" x14ac:dyDescent="0.3">
      <c r="A5" s="594" t="s">
        <v>100</v>
      </c>
      <c r="B5" s="560"/>
      <c r="C5" s="560"/>
      <c r="D5" s="560"/>
      <c r="E5" s="560"/>
      <c r="F5" s="560"/>
      <c r="G5" s="560"/>
      <c r="H5" s="560"/>
      <c r="I5" s="560"/>
      <c r="J5" s="560"/>
      <c r="K5" s="560"/>
      <c r="L5" s="560"/>
      <c r="M5" s="560"/>
      <c r="N5" s="560"/>
      <c r="O5" s="560"/>
      <c r="P5" s="560"/>
      <c r="Q5" s="560"/>
      <c r="R5" s="560"/>
      <c r="S5" s="560"/>
      <c r="T5" s="560"/>
      <c r="U5" s="560"/>
      <c r="V5" s="560"/>
      <c r="W5" s="560"/>
      <c r="X5" s="560"/>
      <c r="Y5" s="560"/>
      <c r="Z5" s="560"/>
      <c r="AA5" s="560"/>
      <c r="AB5" s="560"/>
      <c r="AC5" s="560"/>
      <c r="AD5" s="560"/>
      <c r="AE5" s="560"/>
      <c r="AF5" s="560"/>
      <c r="AG5" s="560"/>
      <c r="AH5" s="560"/>
      <c r="AI5" s="595" t="s">
        <v>101</v>
      </c>
      <c r="AJ5" s="563"/>
      <c r="AK5" s="563"/>
      <c r="AL5" s="563"/>
      <c r="AM5" s="563"/>
      <c r="AN5" s="551"/>
      <c r="AO5" s="595" t="s">
        <v>102</v>
      </c>
      <c r="AP5" s="563"/>
      <c r="AQ5" s="563"/>
      <c r="AR5" s="563"/>
      <c r="AS5" s="563"/>
      <c r="AT5" s="563"/>
      <c r="AU5" s="563"/>
      <c r="AV5" s="563"/>
      <c r="AW5" s="7"/>
      <c r="AX5" s="7"/>
      <c r="AY5" s="7"/>
      <c r="AZ5" s="7"/>
      <c r="BA5" s="7"/>
      <c r="BB5" s="7"/>
      <c r="BC5" s="7"/>
      <c r="BD5" s="7"/>
      <c r="BE5" s="7"/>
      <c r="BF5" s="7"/>
      <c r="BG5" s="7"/>
      <c r="BH5" s="7"/>
      <c r="BI5" s="7"/>
      <c r="BJ5" s="7"/>
      <c r="BK5" s="7"/>
      <c r="BL5" s="7"/>
      <c r="BM5" s="7"/>
      <c r="BN5" s="7"/>
      <c r="BO5" s="7"/>
      <c r="BP5" s="7"/>
      <c r="BQ5" s="7" t="s">
        <v>103</v>
      </c>
      <c r="BR5" s="7"/>
      <c r="BS5" s="7"/>
      <c r="BT5" s="7"/>
    </row>
    <row r="6" spans="1:72" ht="30" customHeight="1" x14ac:dyDescent="0.3">
      <c r="A6" s="566" t="s">
        <v>104</v>
      </c>
      <c r="B6" s="567"/>
      <c r="C6" s="567"/>
      <c r="D6" s="567"/>
      <c r="E6" s="567"/>
      <c r="F6" s="567"/>
      <c r="G6" s="567"/>
      <c r="H6" s="567"/>
      <c r="I6" s="567"/>
      <c r="J6" s="567"/>
      <c r="K6" s="568"/>
      <c r="L6" s="540" t="s">
        <v>105</v>
      </c>
      <c r="M6" s="540"/>
      <c r="N6" s="540"/>
      <c r="O6" s="540"/>
      <c r="P6" s="540"/>
      <c r="Q6" s="540"/>
      <c r="R6" s="541"/>
      <c r="S6" s="542" t="s">
        <v>106</v>
      </c>
      <c r="T6" s="540"/>
      <c r="U6" s="540"/>
      <c r="V6" s="540"/>
      <c r="W6" s="540"/>
      <c r="X6" s="540"/>
      <c r="Y6" s="540"/>
      <c r="Z6" s="540"/>
      <c r="AA6" s="541"/>
      <c r="AB6" s="542" t="s">
        <v>107</v>
      </c>
      <c r="AC6" s="540"/>
      <c r="AD6" s="540"/>
      <c r="AE6" s="540"/>
      <c r="AF6" s="540"/>
      <c r="AG6" s="540"/>
      <c r="AH6" s="541"/>
      <c r="AI6" s="542" t="s">
        <v>108</v>
      </c>
      <c r="AJ6" s="540"/>
      <c r="AK6" s="540"/>
      <c r="AL6" s="540"/>
      <c r="AM6" s="540"/>
      <c r="AN6" s="541"/>
      <c r="AO6" s="591" t="s">
        <v>109</v>
      </c>
      <c r="AP6" s="592"/>
      <c r="AQ6" s="593"/>
      <c r="AR6" s="596" t="s">
        <v>110</v>
      </c>
      <c r="AS6" s="597"/>
      <c r="AT6" s="597"/>
      <c r="AU6" s="597"/>
      <c r="AV6" s="598"/>
      <c r="AW6" s="7"/>
      <c r="AX6" s="7"/>
      <c r="AY6" s="7"/>
      <c r="AZ6" s="7"/>
      <c r="BA6" s="7"/>
      <c r="BB6" s="7"/>
      <c r="BC6" s="7"/>
      <c r="BD6" s="7"/>
      <c r="BE6" s="7"/>
      <c r="BF6" s="7"/>
      <c r="BG6" s="7"/>
      <c r="BH6" s="7"/>
      <c r="BI6" s="7"/>
      <c r="BJ6" s="7"/>
      <c r="BK6" s="7"/>
      <c r="BL6" s="7"/>
      <c r="BM6" s="7"/>
      <c r="BN6" s="7"/>
      <c r="BO6" s="7"/>
      <c r="BP6" s="7"/>
      <c r="BQ6" s="7" t="s">
        <v>4</v>
      </c>
      <c r="BR6" s="7"/>
      <c r="BS6" s="7"/>
      <c r="BT6" s="7"/>
    </row>
    <row r="7" spans="1:72" ht="29.25" customHeight="1" x14ac:dyDescent="0.3">
      <c r="A7" s="569" t="s">
        <v>41</v>
      </c>
      <c r="B7" s="571" t="s">
        <v>43</v>
      </c>
      <c r="C7" s="573" t="s">
        <v>45</v>
      </c>
      <c r="D7" s="575" t="s">
        <v>111</v>
      </c>
      <c r="E7" s="577" t="s">
        <v>112</v>
      </c>
      <c r="F7" s="542" t="s">
        <v>49</v>
      </c>
      <c r="G7" s="548" t="s">
        <v>51</v>
      </c>
      <c r="H7" s="563" t="s">
        <v>53</v>
      </c>
      <c r="I7" s="548" t="s">
        <v>55</v>
      </c>
      <c r="J7" s="559" t="s">
        <v>57</v>
      </c>
      <c r="K7" s="548" t="s">
        <v>113</v>
      </c>
      <c r="L7" s="550" t="s">
        <v>114</v>
      </c>
      <c r="M7" s="552" t="s">
        <v>115</v>
      </c>
      <c r="N7" s="561" t="s">
        <v>116</v>
      </c>
      <c r="O7" s="561" t="s">
        <v>117</v>
      </c>
      <c r="P7" s="553" t="s">
        <v>118</v>
      </c>
      <c r="Q7" s="552" t="s">
        <v>115</v>
      </c>
      <c r="R7" s="562" t="s">
        <v>63</v>
      </c>
      <c r="S7" s="544" t="s">
        <v>119</v>
      </c>
      <c r="T7" s="543" t="s">
        <v>65</v>
      </c>
      <c r="U7" s="561" t="s">
        <v>67</v>
      </c>
      <c r="V7" s="543" t="s">
        <v>120</v>
      </c>
      <c r="W7" s="543"/>
      <c r="X7" s="543"/>
      <c r="Y7" s="543"/>
      <c r="Z7" s="543"/>
      <c r="AA7" s="543"/>
      <c r="AB7" s="546" t="s">
        <v>121</v>
      </c>
      <c r="AC7" s="546" t="s">
        <v>122</v>
      </c>
      <c r="AD7" s="546" t="s">
        <v>115</v>
      </c>
      <c r="AE7" s="546" t="s">
        <v>123</v>
      </c>
      <c r="AF7" s="546" t="s">
        <v>115</v>
      </c>
      <c r="AG7" s="546" t="s">
        <v>124</v>
      </c>
      <c r="AH7" s="544" t="s">
        <v>83</v>
      </c>
      <c r="AI7" s="543" t="s">
        <v>125</v>
      </c>
      <c r="AJ7" s="543" t="s">
        <v>126</v>
      </c>
      <c r="AK7" s="543" t="s">
        <v>127</v>
      </c>
      <c r="AL7" s="543" t="s">
        <v>128</v>
      </c>
      <c r="AM7" s="543" t="s">
        <v>129</v>
      </c>
      <c r="AN7" s="543" t="s">
        <v>87</v>
      </c>
      <c r="AO7" s="591" t="s">
        <v>130</v>
      </c>
      <c r="AP7" s="592"/>
      <c r="AQ7" s="593"/>
      <c r="AR7" s="599"/>
      <c r="AS7" s="563"/>
      <c r="AT7" s="563"/>
      <c r="AU7" s="563"/>
      <c r="AV7" s="551"/>
      <c r="AW7" s="7"/>
      <c r="AX7" s="7"/>
      <c r="AY7" s="7"/>
      <c r="AZ7" s="7"/>
      <c r="BA7" s="7"/>
      <c r="BB7" s="7"/>
      <c r="BC7" s="7"/>
      <c r="BD7" s="7"/>
      <c r="BE7" s="7"/>
      <c r="BF7" s="7"/>
      <c r="BG7" s="7"/>
      <c r="BH7" s="7"/>
      <c r="BI7" s="7"/>
      <c r="BJ7" s="7"/>
      <c r="BK7" s="7"/>
      <c r="BL7" s="7"/>
      <c r="BM7" s="7"/>
      <c r="BN7" s="7"/>
      <c r="BO7" s="7"/>
      <c r="BP7" s="7"/>
      <c r="BQ7" s="7" t="s">
        <v>8</v>
      </c>
      <c r="BR7" s="7"/>
      <c r="BS7" s="7"/>
      <c r="BT7" s="7"/>
    </row>
    <row r="8" spans="1:72" s="4" customFormat="1" ht="378" customHeight="1" x14ac:dyDescent="0.25">
      <c r="A8" s="570"/>
      <c r="B8" s="572"/>
      <c r="C8" s="574"/>
      <c r="D8" s="576"/>
      <c r="E8" s="578"/>
      <c r="F8" s="547"/>
      <c r="G8" s="549"/>
      <c r="H8" s="564"/>
      <c r="I8" s="549"/>
      <c r="J8" s="560"/>
      <c r="K8" s="549"/>
      <c r="L8" s="551"/>
      <c r="M8" s="542"/>
      <c r="N8" s="562"/>
      <c r="O8" s="562"/>
      <c r="P8" s="542"/>
      <c r="Q8" s="542"/>
      <c r="R8" s="543"/>
      <c r="S8" s="545"/>
      <c r="T8" s="543"/>
      <c r="U8" s="562"/>
      <c r="V8" s="123" t="s">
        <v>131</v>
      </c>
      <c r="W8" s="123" t="s">
        <v>132</v>
      </c>
      <c r="X8" s="123" t="s">
        <v>133</v>
      </c>
      <c r="Y8" s="123" t="s">
        <v>134</v>
      </c>
      <c r="Z8" s="123" t="s">
        <v>135</v>
      </c>
      <c r="AA8" s="123" t="s">
        <v>136</v>
      </c>
      <c r="AB8" s="546"/>
      <c r="AC8" s="546"/>
      <c r="AD8" s="546"/>
      <c r="AE8" s="546"/>
      <c r="AF8" s="546"/>
      <c r="AG8" s="546"/>
      <c r="AH8" s="545"/>
      <c r="AI8" s="543"/>
      <c r="AJ8" s="543"/>
      <c r="AK8" s="543"/>
      <c r="AL8" s="543"/>
      <c r="AM8" s="543"/>
      <c r="AN8" s="543"/>
      <c r="AO8" s="295" t="s">
        <v>137</v>
      </c>
      <c r="AP8" s="295" t="s">
        <v>138</v>
      </c>
      <c r="AQ8" s="295" t="s">
        <v>139</v>
      </c>
      <c r="AR8" s="126" t="s">
        <v>140</v>
      </c>
      <c r="AS8" s="127" t="s">
        <v>141</v>
      </c>
      <c r="AT8" s="128" t="s">
        <v>142</v>
      </c>
      <c r="AU8" s="129" t="s">
        <v>143</v>
      </c>
      <c r="AV8" s="130" t="s">
        <v>144</v>
      </c>
      <c r="AW8" s="25"/>
      <c r="AX8" s="25"/>
      <c r="AY8" s="25"/>
      <c r="AZ8" s="25"/>
      <c r="BA8" s="25"/>
      <c r="BB8" s="25"/>
      <c r="BC8" s="25"/>
      <c r="BD8" s="25"/>
      <c r="BE8" s="25"/>
      <c r="BF8" s="25"/>
      <c r="BG8" s="25"/>
      <c r="BH8" s="25"/>
      <c r="BI8" s="25"/>
      <c r="BJ8" s="25"/>
      <c r="BK8" s="25"/>
      <c r="BL8" s="25"/>
      <c r="BM8" s="25"/>
      <c r="BN8" s="25"/>
      <c r="BO8" s="25"/>
      <c r="BP8" s="25"/>
      <c r="BQ8" s="25" t="s">
        <v>10</v>
      </c>
      <c r="BR8" s="25"/>
      <c r="BS8" s="25"/>
      <c r="BT8" s="25"/>
    </row>
    <row r="9" spans="1:72" ht="201.75" customHeight="1" x14ac:dyDescent="0.3">
      <c r="A9" s="526" t="s">
        <v>19</v>
      </c>
      <c r="B9" s="526" t="s">
        <v>419</v>
      </c>
      <c r="C9" s="526" t="s">
        <v>420</v>
      </c>
      <c r="D9" s="526" t="s">
        <v>28</v>
      </c>
      <c r="E9" s="515">
        <v>1</v>
      </c>
      <c r="F9" s="466" t="s">
        <v>250</v>
      </c>
      <c r="G9" s="466" t="s">
        <v>421</v>
      </c>
      <c r="H9" s="466" t="s">
        <v>422</v>
      </c>
      <c r="I9" s="466" t="s">
        <v>423</v>
      </c>
      <c r="J9" s="466" t="s">
        <v>188</v>
      </c>
      <c r="K9" s="424">
        <v>450</v>
      </c>
      <c r="L9" s="428" t="str">
        <f>IF(K9&lt;=0,"",IF(K9&lt;=2,"Muy Baja",IF(K9&lt;=24,"Baja",IF(K9&lt;=500,"Media",IF(K9&lt;=5000,"Alta","Muy Alta")))))</f>
        <v>Media</v>
      </c>
      <c r="M9" s="430">
        <f>IF(L9="","",IF(L9="Muy Baja",0.2,IF(L9="Baja",0.4,IF(L9="Media",0.6,IF(L9="Alta",0.8,IF(L9="Muy Alta",1,))))))</f>
        <v>0.6</v>
      </c>
      <c r="N9" s="555" t="s">
        <v>346</v>
      </c>
      <c r="O9" s="651" t="str">
        <f ca="1">IF(NOT(ISERROR(MATCH(N9,_xlfn.ANCHORARRAY(#REF!),0))),#REF!&amp;"Por favor no seleccionar los criterios de impacto",N9)</f>
        <v xml:space="preserve">     Entre 100 y 500 SMLMV </v>
      </c>
      <c r="P9" s="428" t="str">
        <f ca="1">IF(OR(O9='[8]Tabla Impacto'!$C$11,O9='[8]Tabla Impacto'!$D$11),"Leve",IF(OR(O9='[8]Tabla Impacto'!$C$12,O9='[8]Tabla Impacto'!$D$12),"Menor",IF(OR(O9='[8]Tabla Impacto'!$C$13,O9='[8]Tabla Impacto'!$D$13),"Moderado",IF(OR(O9='[8]Tabla Impacto'!$C$14,O9='[8]Tabla Impacto'!$D$14),"Mayor",IF(OR(O9='[8]Tabla Impacto'!$C$15,O9='[8]Tabla Impacto'!$D$15),"Catastrófico","")))))</f>
        <v>Mayor</v>
      </c>
      <c r="Q9" s="430">
        <f ca="1">IF(P9="","",IF(P9="Leve",0.2,IF(P9="Menor",0.4,IF(P9="Moderado",0.6,IF(P9="Mayor",0.8,IF(P9="Catastrófico",1,))))))</f>
        <v>0.8</v>
      </c>
      <c r="R9" s="484" t="str">
        <f ca="1">IF(OR(AND(L9="Muy Baja",P9="Leve"),AND(L9="Muy Baja",P9="Menor"),AND(L9="Baja",P9="Leve")),"Bajo",IF(OR(AND(L9="Muy baja",P9="Moderado"),AND(L9="Baja",P9="Menor"),AND(L9="Baja",P9="Moderado"),AND(L9="Media",P9="Leve"),AND(L9="Media",P9="Menor"),AND(L9="Media",P9="Moderado"),AND(L9="Alta",P9="Leve"),AND(L9="Alta",P9="Menor")),"Moderado",IF(OR(AND(L9="Muy Baja",P9="Mayor"),AND(L9="Baja",P9="Mayor"),AND(L9="Media",P9="Mayor"),AND(L9="Alta",P9="Moderado"),AND(L9="Alta",P9="Mayor"),AND(L9="Muy Alta",P9="Leve"),AND(L9="Muy Alta",P9="Menor"),AND(L9="Muy Alta",P9="Moderado"),AND(L9="Muy Alta",P9="Mayor")),"Alto",IF(OR(AND(L9="Muy Baja",P9="Catastrófico"),AND(L9="Baja",P9="Catastrófico"),AND(L9="Media",P9="Catastrófico"),AND(L9="Alta",P9="Catastrófico"),AND(L9="Muy Alta",P9="Catastrófico")),"Extremo",""))))</f>
        <v>Alto</v>
      </c>
      <c r="S9" s="6">
        <v>1</v>
      </c>
      <c r="T9" s="259" t="s">
        <v>592</v>
      </c>
      <c r="U9" s="260" t="str">
        <f>IF(OR(V9="Preventivo",V9="Detectivo"),"Probabilidad",IF(V9="Correctivo","Impacto",""))</f>
        <v>Probabilidad</v>
      </c>
      <c r="V9" s="261" t="s">
        <v>155</v>
      </c>
      <c r="W9" s="261" t="s">
        <v>156</v>
      </c>
      <c r="X9" s="262" t="str">
        <f t="shared" ref="X9:X14" si="0">IF(AND(V9="Preventivo",W9="Automático"),"50%",IF(AND(V9="Preventivo",W9="Manual"),"40%",IF(AND(V9="Detectivo",W9="Automático"),"40%",IF(AND(V9="Detectivo",W9="Manual"),"30%",IF(AND(V9="Correctivo",W9="Automático"),"35%",IF(AND(V9="Correctivo",W9="Manual"),"25%",""))))))</f>
        <v>40%</v>
      </c>
      <c r="Y9" s="261" t="s">
        <v>157</v>
      </c>
      <c r="Z9" s="261" t="s">
        <v>158</v>
      </c>
      <c r="AA9" s="261" t="s">
        <v>159</v>
      </c>
      <c r="AB9" s="263">
        <f>IFERROR(IF(U9="Probabilidad",(M9-(+M9*X9)),IF(U9="Impacto",M9,"")),"")</f>
        <v>0.36</v>
      </c>
      <c r="AC9" s="269" t="str">
        <f t="shared" ref="AC9:AC14" si="1">IFERROR(IF(AB9="","",IF(AB9&lt;=0.2,"Muy Baja",IF(AB9&lt;=0.4,"Baja",IF(AB9&lt;=0.6,"Media",IF(AB9&lt;=0.8,"Alta","Muy Alta"))))),"")</f>
        <v>Baja</v>
      </c>
      <c r="AD9" s="264">
        <f t="shared" ref="AD9:AD10" si="2">+AB9</f>
        <v>0.36</v>
      </c>
      <c r="AE9" s="269" t="str">
        <f t="shared" ref="AE9:AE14" ca="1" si="3">IFERROR(IF(AF9="","",IF(AF9&lt;=0.2,"Leve",IF(AF9&lt;=0.4,"Menor",IF(AF9&lt;=0.6,"Moderado",IF(AF9&lt;=0.8,"Mayor","Catastrófico"))))),"")</f>
        <v>Mayor</v>
      </c>
      <c r="AF9" s="264">
        <f ca="1">IFERROR(IF(U9="Impacto",(Q9-(+Q9*X9)),IF(U9="Probabilidad",Q9,"")),"")</f>
        <v>0.8</v>
      </c>
      <c r="AG9" s="265" t="str">
        <f t="shared" ref="AG9:AG14" ca="1" si="4">IFERROR(IF(OR(AND(AC9="Muy Baja",AE9="Leve"),AND(AC9="Muy Baja",AE9="Menor"),AND(AC9="Baja",AE9="Leve")),"Bajo",IF(OR(AND(AC9="Muy baja",AE9="Moderado"),AND(AC9="Baja",AE9="Menor"),AND(AC9="Baja",AE9="Moderado"),AND(AC9="Media",AE9="Leve"),AND(AC9="Media",AE9="Menor"),AND(AC9="Media",AE9="Moderado"),AND(AC9="Alta",AE9="Leve"),AND(AC9="Alta",AE9="Menor")),"Moderado",IF(OR(AND(AC9="Muy Baja",AE9="Mayor"),AND(AC9="Baja",AE9="Mayor"),AND(AC9="Media",AE9="Mayor"),AND(AC9="Alta",AE9="Moderado"),AND(AC9="Alta",AE9="Mayor"),AND(AC9="Muy Alta",AE9="Leve"),AND(AC9="Muy Alta",AE9="Menor"),AND(AC9="Muy Alta",AE9="Moderado"),AND(AC9="Muy Alta",AE9="Mayor")),"Alto",IF(OR(AND(AC9="Muy Baja",AE9="Catastrófico"),AND(AC9="Baja",AE9="Catastrófico"),AND(AC9="Media",AE9="Catastrófico"),AND(AC9="Alta",AE9="Catastrófico"),AND(AC9="Muy Alta",AE9="Catastrófico")),"Extremo","")))),"")</f>
        <v>Alto</v>
      </c>
      <c r="AH9" s="266" t="s">
        <v>160</v>
      </c>
      <c r="AI9" s="466"/>
      <c r="AJ9" s="187" t="s">
        <v>424</v>
      </c>
      <c r="AK9" s="188" t="s">
        <v>596</v>
      </c>
      <c r="AL9" s="189" t="s">
        <v>207</v>
      </c>
      <c r="AM9" s="278" t="s">
        <v>593</v>
      </c>
      <c r="AN9" s="361" t="s">
        <v>165</v>
      </c>
      <c r="AO9" s="687"/>
      <c r="AP9" s="860"/>
      <c r="AQ9" s="691"/>
      <c r="AR9" s="362" t="s">
        <v>208</v>
      </c>
      <c r="AS9" s="277"/>
      <c r="AT9" s="277"/>
      <c r="AU9" s="277" t="s">
        <v>208</v>
      </c>
      <c r="AV9" s="277" t="s">
        <v>208</v>
      </c>
      <c r="AW9" s="7"/>
      <c r="AX9" s="7"/>
      <c r="AY9" s="7"/>
      <c r="AZ9" s="7"/>
      <c r="BA9" s="7"/>
      <c r="BB9" s="7"/>
      <c r="BC9" s="7"/>
      <c r="BD9" s="7"/>
      <c r="BE9" s="7"/>
      <c r="BF9" s="7"/>
      <c r="BG9" s="7"/>
      <c r="BH9" s="7"/>
      <c r="BI9" s="7"/>
      <c r="BJ9" s="7"/>
      <c r="BK9" s="7"/>
      <c r="BL9" s="7"/>
      <c r="BM9" s="7"/>
      <c r="BN9" s="7"/>
      <c r="BO9" s="7"/>
      <c r="BP9" s="7"/>
      <c r="BQ9" s="7"/>
      <c r="BR9" s="7"/>
      <c r="BS9" s="7"/>
      <c r="BT9" s="7"/>
    </row>
    <row r="10" spans="1:72" ht="151.5" customHeight="1" x14ac:dyDescent="0.3">
      <c r="A10" s="496"/>
      <c r="B10" s="496"/>
      <c r="C10" s="496"/>
      <c r="D10" s="496"/>
      <c r="E10" s="625"/>
      <c r="F10" s="427"/>
      <c r="G10" s="427"/>
      <c r="H10" s="427"/>
      <c r="I10" s="427"/>
      <c r="J10" s="427"/>
      <c r="K10" s="650"/>
      <c r="L10" s="429"/>
      <c r="M10" s="431"/>
      <c r="N10" s="863"/>
      <c r="O10" s="652"/>
      <c r="P10" s="429"/>
      <c r="Q10" s="431"/>
      <c r="R10" s="486"/>
      <c r="S10" s="6">
        <v>2</v>
      </c>
      <c r="T10" s="259" t="s">
        <v>598</v>
      </c>
      <c r="U10" s="260" t="s">
        <v>154</v>
      </c>
      <c r="V10" s="261" t="s">
        <v>169</v>
      </c>
      <c r="W10" s="261" t="s">
        <v>156</v>
      </c>
      <c r="X10" s="262" t="str">
        <f t="shared" si="0"/>
        <v>30%</v>
      </c>
      <c r="Y10" s="261" t="s">
        <v>157</v>
      </c>
      <c r="Z10" s="261" t="s">
        <v>158</v>
      </c>
      <c r="AA10" s="261" t="s">
        <v>159</v>
      </c>
      <c r="AB10" s="263">
        <f>IFERROR(IF(U10="Probabilidad",(AB9-(+AB9*X10)),IF(U10="Impacto",AB9,"")),"")</f>
        <v>0.252</v>
      </c>
      <c r="AC10" s="269" t="str">
        <f t="shared" si="1"/>
        <v>Baja</v>
      </c>
      <c r="AD10" s="124">
        <f t="shared" si="2"/>
        <v>0.252</v>
      </c>
      <c r="AE10" s="269" t="str">
        <f t="shared" ca="1" si="3"/>
        <v>Mayor</v>
      </c>
      <c r="AF10" s="264">
        <f ca="1">IFERROR(IF(U10="Impacto",(Q9-(+Q9*X10)),IF(U10="Probabilidad",Q9,"")),"")</f>
        <v>0.8</v>
      </c>
      <c r="AG10" s="265" t="str">
        <f t="shared" ca="1" si="4"/>
        <v>Alto</v>
      </c>
      <c r="AH10" s="266" t="s">
        <v>160</v>
      </c>
      <c r="AI10" s="427"/>
      <c r="AJ10" s="187" t="s">
        <v>424</v>
      </c>
      <c r="AK10" s="188" t="s">
        <v>596</v>
      </c>
      <c r="AL10" s="189" t="s">
        <v>207</v>
      </c>
      <c r="AM10" s="278" t="s">
        <v>593</v>
      </c>
      <c r="AN10" s="361" t="s">
        <v>165</v>
      </c>
      <c r="AO10" s="688"/>
      <c r="AP10" s="861"/>
      <c r="AQ10" s="692"/>
      <c r="AR10" s="362" t="s">
        <v>208</v>
      </c>
      <c r="AS10" s="277"/>
      <c r="AT10" s="277" t="s">
        <v>208</v>
      </c>
      <c r="AV10" s="277"/>
      <c r="AW10" s="7"/>
      <c r="AX10" s="7"/>
      <c r="AY10" s="7"/>
      <c r="AZ10" s="7"/>
      <c r="BA10" s="7"/>
      <c r="BB10" s="7"/>
      <c r="BC10" s="7"/>
      <c r="BD10" s="7"/>
      <c r="BE10" s="7"/>
      <c r="BF10" s="7"/>
      <c r="BG10" s="7"/>
      <c r="BH10" s="7"/>
      <c r="BI10" s="7"/>
      <c r="BJ10" s="7"/>
      <c r="BK10" s="7"/>
      <c r="BL10" s="7"/>
      <c r="BM10" s="7"/>
      <c r="BN10" s="7"/>
      <c r="BO10" s="7"/>
      <c r="BP10" s="7"/>
      <c r="BQ10" s="7"/>
      <c r="BR10" s="7"/>
      <c r="BS10" s="7"/>
      <c r="BT10" s="7"/>
    </row>
    <row r="11" spans="1:72" s="7" customFormat="1" ht="114.75" customHeight="1" x14ac:dyDescent="0.3">
      <c r="A11" s="496"/>
      <c r="B11" s="496"/>
      <c r="C11" s="496"/>
      <c r="D11" s="496"/>
      <c r="E11" s="639">
        <v>2</v>
      </c>
      <c r="F11" s="636" t="s">
        <v>147</v>
      </c>
      <c r="G11" s="636" t="s">
        <v>550</v>
      </c>
      <c r="H11" s="636" t="s">
        <v>555</v>
      </c>
      <c r="I11" s="653" t="s">
        <v>549</v>
      </c>
      <c r="J11" s="658" t="s">
        <v>188</v>
      </c>
      <c r="K11" s="859">
        <v>350</v>
      </c>
      <c r="L11" s="464" t="str">
        <f>IF(K11&lt;=0,"",IF(K11&lt;=2,"Muy Baja",IF(K11&lt;=24,"Baja",IF(K11&lt;=500,"Media",IF(K11&lt;=5000,"Alta","Muy Alta")))))</f>
        <v>Media</v>
      </c>
      <c r="M11" s="462">
        <f>IF(L11="","",IF(L11="Muy Baja",0.2,IF(L11="Baja",0.4,IF(L11="Media",0.6,IF(L11="Alta",0.8,IF(L11="Muy Alta",1,))))))</f>
        <v>0.6</v>
      </c>
      <c r="N11" s="655" t="s">
        <v>493</v>
      </c>
      <c r="O11" s="344" t="str">
        <f ca="1">IF(NOT(ISERROR(MATCH(N11,_xlfn.ANCHORARRAY(#REF!),0))),#REF!&amp;"Por favor no seleccionar los criterios de impacto",N11)</f>
        <v xml:space="preserve">Entre 10 y 50 SMLMV </v>
      </c>
      <c r="P11" s="464" t="str">
        <f ca="1">IF(OR(O11='Tabla Impacto'!$C$4,O11='Tabla Impacto'!$D$4),"Leve",IF(OR(O11='Tabla Impacto'!$C$5,O11='Tabla Impacto'!$D$5),"Menor",IF(OR(O11='Tabla Impacto'!$C$6,O11='Tabla Impacto'!$D$6),"Moderado",IF(OR(O11='Tabla Impacto'!$C$7,O11='Tabla Impacto'!$D$7),"Mayor",IF(OR(O11='Tabla Impacto'!$C$8,O11='Tabla Impacto'!$D$8),"Catastrófico","")))))</f>
        <v>Menor</v>
      </c>
      <c r="Q11" s="462">
        <f ca="1">IF(P11="","",IF(P11="Leve",0.2,IF(P11="Menor",0.4,IF(P11="Moderado",0.6,IF(P11="Mayor",0.8,IF(P11="Catastrófico",1,))))))</f>
        <v>0.4</v>
      </c>
      <c r="R11" s="460" t="str">
        <f ca="1">IF(OR(AND(L11="Muy Baja",P11="Leve"),AND(L11="Muy Baja",P11="Menor"),AND(L11="Baja",P11="Leve")),"Bajo",IF(OR(AND(L11="Muy baja",P11="Moderado"),AND(L11="Baja",P11="Menor"),AND(L11="Baja",P11="Moderado"),AND(L11="Media",P11="Leve"),AND(L11="Media",P11="Menor"),AND(L11="Media",P11="Moderado"),AND(L11="Alta",P11="Leve"),AND(L11="Alta",P11="Menor")),"Moderado",IF(OR(AND(L11="Muy Baja",P11="Mayor"),AND(L11="Baja",P11="Mayor"),AND(L11="Media",P11="Mayor"),AND(L11="Alta",P11="Moderado"),AND(L11="Alta",P11="Mayor"),AND(L11="Muy Alta",P11="Leve"),AND(L11="Muy Alta",P11="Menor"),AND(L11="Muy Alta",P11="Moderado"),AND(L11="Muy Alta",P11="Mayor")),"Alto",IF(OR(AND(L11="Muy Baja",P11="Catastrófico"),AND(L11="Baja",P11="Catastrófico"),AND(L11="Media",P11="Catastrófico"),AND(L11="Alta",P11="Catastrófico"),AND(L11="Muy Alta",P11="Catastrófico")),"Extremo",""))))</f>
        <v>Moderado</v>
      </c>
      <c r="S11" s="345">
        <v>1</v>
      </c>
      <c r="T11" s="346" t="s">
        <v>599</v>
      </c>
      <c r="U11" s="347" t="s">
        <v>154</v>
      </c>
      <c r="V11" s="261" t="s">
        <v>155</v>
      </c>
      <c r="W11" s="261" t="s">
        <v>156</v>
      </c>
      <c r="X11" s="262" t="str">
        <f t="shared" si="0"/>
        <v>40%</v>
      </c>
      <c r="Y11" s="261" t="s">
        <v>157</v>
      </c>
      <c r="Z11" s="261" t="s">
        <v>158</v>
      </c>
      <c r="AA11" s="261" t="s">
        <v>159</v>
      </c>
      <c r="AB11" s="360">
        <f>IFERROR(IF(U11="Probabilidad",(M11-(+M11*X11)),IF(U11="Impacto",M11,"")),"")</f>
        <v>0.36</v>
      </c>
      <c r="AC11" s="269" t="str">
        <f t="shared" si="1"/>
        <v>Baja</v>
      </c>
      <c r="AD11" s="124">
        <f>+AB11</f>
        <v>0.36</v>
      </c>
      <c r="AE11" s="269" t="str">
        <f t="shared" ca="1" si="3"/>
        <v>Menor</v>
      </c>
      <c r="AF11" s="264">
        <f ca="1">IFERROR(IF(U11="Impacto",(Q11-(+Q11*X11)),IF(U11="Probabilidad",Q11,"")),"")</f>
        <v>0.4</v>
      </c>
      <c r="AG11" s="265" t="str">
        <f t="shared" ca="1" si="4"/>
        <v>Moderado</v>
      </c>
      <c r="AH11" s="266" t="s">
        <v>160</v>
      </c>
      <c r="AI11" s="456"/>
      <c r="AJ11" s="187" t="s">
        <v>424</v>
      </c>
      <c r="AK11" s="188" t="s">
        <v>596</v>
      </c>
      <c r="AL11" s="349" t="s">
        <v>597</v>
      </c>
      <c r="AM11" s="278" t="s">
        <v>593</v>
      </c>
      <c r="AN11" s="350" t="s">
        <v>165</v>
      </c>
      <c r="AO11" s="855"/>
      <c r="AP11" s="434"/>
      <c r="AQ11" s="857"/>
      <c r="AR11" s="350"/>
      <c r="AS11" s="350"/>
      <c r="AT11" s="350"/>
      <c r="AU11" s="277" t="s">
        <v>208</v>
      </c>
      <c r="AV11" s="277" t="s">
        <v>208</v>
      </c>
    </row>
    <row r="12" spans="1:72" s="7" customFormat="1" ht="114.75" customHeight="1" x14ac:dyDescent="0.3">
      <c r="A12" s="496"/>
      <c r="B12" s="496"/>
      <c r="C12" s="496"/>
      <c r="D12" s="496"/>
      <c r="E12" s="640"/>
      <c r="F12" s="862"/>
      <c r="G12" s="862"/>
      <c r="H12" s="637"/>
      <c r="I12" s="654"/>
      <c r="J12" s="659"/>
      <c r="K12" s="657"/>
      <c r="L12" s="465"/>
      <c r="M12" s="463"/>
      <c r="N12" s="656"/>
      <c r="O12" s="344"/>
      <c r="P12" s="465"/>
      <c r="Q12" s="463"/>
      <c r="R12" s="461"/>
      <c r="S12" s="345">
        <v>2</v>
      </c>
      <c r="T12" s="346" t="s">
        <v>594</v>
      </c>
      <c r="U12" s="347" t="s">
        <v>154</v>
      </c>
      <c r="V12" s="348" t="s">
        <v>155</v>
      </c>
      <c r="W12" s="348" t="s">
        <v>156</v>
      </c>
      <c r="X12" s="262" t="str">
        <f t="shared" si="0"/>
        <v>40%</v>
      </c>
      <c r="Y12" s="261" t="s">
        <v>157</v>
      </c>
      <c r="Z12" s="261" t="s">
        <v>158</v>
      </c>
      <c r="AA12" s="261" t="s">
        <v>159</v>
      </c>
      <c r="AB12" s="360">
        <f>IFERROR(IF(U12="Probabilidad",(AB11-(+AB11*X12)),IF(U12="Impacto",AB11,"")),"")</f>
        <v>0.216</v>
      </c>
      <c r="AC12" s="269" t="str">
        <f t="shared" si="1"/>
        <v>Baja</v>
      </c>
      <c r="AD12" s="124">
        <f t="shared" ref="AD12:AD14" si="5">+AB12</f>
        <v>0.216</v>
      </c>
      <c r="AE12" s="269" t="str">
        <f t="shared" ca="1" si="3"/>
        <v>Menor</v>
      </c>
      <c r="AF12" s="264">
        <f ca="1">IFERROR(IF(U12="Impacto",(Q11-(+Q11*X12)),IF(U12="Probabilidad",Q11,"")),"")</f>
        <v>0.4</v>
      </c>
      <c r="AG12" s="265" t="str">
        <f t="shared" ca="1" si="4"/>
        <v>Moderado</v>
      </c>
      <c r="AH12" s="266" t="s">
        <v>160</v>
      </c>
      <c r="AI12" s="457"/>
      <c r="AJ12" s="187" t="s">
        <v>424</v>
      </c>
      <c r="AK12" s="188" t="s">
        <v>596</v>
      </c>
      <c r="AL12" s="349" t="s">
        <v>434</v>
      </c>
      <c r="AM12" s="278" t="s">
        <v>593</v>
      </c>
      <c r="AN12" s="350" t="s">
        <v>165</v>
      </c>
      <c r="AO12" s="856"/>
      <c r="AP12" s="440"/>
      <c r="AQ12" s="858"/>
      <c r="AR12" s="350"/>
      <c r="AS12" s="350"/>
      <c r="AT12" s="350"/>
      <c r="AU12" s="277" t="s">
        <v>208</v>
      </c>
      <c r="AV12" s="277" t="s">
        <v>208</v>
      </c>
    </row>
    <row r="13" spans="1:72" s="7" customFormat="1" ht="151.5" customHeight="1" x14ac:dyDescent="0.3">
      <c r="A13" s="496"/>
      <c r="B13" s="496"/>
      <c r="C13" s="496"/>
      <c r="D13" s="496"/>
      <c r="E13" s="848">
        <v>3</v>
      </c>
      <c r="F13" s="642" t="s">
        <v>250</v>
      </c>
      <c r="G13" s="644" t="s">
        <v>421</v>
      </c>
      <c r="H13" s="852" t="s">
        <v>556</v>
      </c>
      <c r="I13" s="648" t="s">
        <v>595</v>
      </c>
      <c r="J13" s="443" t="s">
        <v>188</v>
      </c>
      <c r="K13" s="445">
        <v>450</v>
      </c>
      <c r="L13" s="447" t="str">
        <f>IF(K13&lt;=0,"",IF(K13&lt;=2,"Muy Baja",IF(K13&lt;=24,"Baja",IF(K13&lt;=500,"Media",IF(K13&lt;=5000,"Alta","Muy Alta")))))</f>
        <v>Media</v>
      </c>
      <c r="M13" s="449">
        <f>IF(L13="","",IF(L13="Muy Baja",0.2,IF(L13="Baja",0.4,IF(L13="Media",0.6,IF(L13="Alta",0.8,IF(L13="Muy Alta",1,))))))</f>
        <v>0.6</v>
      </c>
      <c r="N13" s="451" t="s">
        <v>499</v>
      </c>
      <c r="O13" s="344" t="str">
        <f ca="1">IF(NOT(ISERROR(MATCH(N13,_xlfn.ANCHORARRAY(#REF!),0))),#REF!&amp;"Por favor no seleccionar los criterios de impacto",N13)</f>
        <v xml:space="preserve">Entre 100 y 500 SMLMV </v>
      </c>
      <c r="P13" s="447" t="str">
        <f ca="1">IF(OR(O13='Tabla Impacto'!$C$4,O13='Tabla Impacto'!$D$4),"Leve",IF(OR(O13='Tabla Impacto'!$C$5,O13='Tabla Impacto'!$D$5),"Menor",IF(OR(O13='Tabla Impacto'!$C$6,O13='Tabla Impacto'!$D$6),"Moderado",IF(OR(O13='Tabla Impacto'!$C$7,O13='Tabla Impacto'!$D$7),"Mayor",IF(OR(O13='Tabla Impacto'!$C$8,O13='Tabla Impacto'!$D$8),"Catastrófico","")))))</f>
        <v>Mayor</v>
      </c>
      <c r="Q13" s="449">
        <f ca="1">IF(P13="","",IF(P13="Leve",0.2,IF(P13="Menor",0.4,IF(P13="Moderado",0.6,IF(P13="Mayor",0.8,IF(P13="Catastrófico",1,))))))</f>
        <v>0.8</v>
      </c>
      <c r="R13" s="454" t="str">
        <f ca="1">IF(OR(AND(L13="Muy Baja",P13="Leve"),AND(L13="Muy Baja",P13="Menor"),AND(L13="Baja",P13="Leve")),"Bajo",IF(OR(AND(L13="Muy baja",P13="Moderado"),AND(L13="Baja",P13="Menor"),AND(L13="Baja",P13="Moderado"),AND(L13="Media",P13="Leve"),AND(L13="Media",P13="Menor"),AND(L13="Media",P13="Moderado"),AND(L13="Alta",P13="Leve"),AND(L13="Alta",P13="Menor")),"Moderado",IF(OR(AND(L13="Muy Baja",P13="Mayor"),AND(L13="Baja",P13="Mayor"),AND(L13="Media",P13="Mayor"),AND(L13="Alta",P13="Moderado"),AND(L13="Alta",P13="Mayor"),AND(L13="Muy Alta",P13="Leve"),AND(L13="Muy Alta",P13="Menor"),AND(L13="Muy Alta",P13="Moderado"),AND(L13="Muy Alta",P13="Mayor")),"Alto",IF(OR(AND(L13="Muy Baja",P13="Catastrófico"),AND(L13="Baja",P13="Catastrófico"),AND(L13="Media",P13="Catastrófico"),AND(L13="Alta",P13="Catastrófico"),AND(L13="Muy Alta",P13="Catastrófico")),"Extremo",""))))</f>
        <v>Alto</v>
      </c>
      <c r="S13" s="345">
        <v>1</v>
      </c>
      <c r="T13" s="351" t="s">
        <v>592</v>
      </c>
      <c r="U13" s="260" t="str">
        <f>IF(OR(V13="Preventivo",V13="Detectivo"),"Probabilidad",IF(V13="Correctivo","Impacto",""))</f>
        <v>Probabilidad</v>
      </c>
      <c r="V13" s="261" t="s">
        <v>155</v>
      </c>
      <c r="W13" s="261" t="s">
        <v>156</v>
      </c>
      <c r="X13" s="262" t="str">
        <f t="shared" si="0"/>
        <v>40%</v>
      </c>
      <c r="Y13" s="261" t="s">
        <v>157</v>
      </c>
      <c r="Z13" s="261" t="s">
        <v>158</v>
      </c>
      <c r="AA13" s="261" t="s">
        <v>159</v>
      </c>
      <c r="AB13" s="360">
        <f>IFERROR(IF(U13="Probabilidad",(M13-(+M13*X13)),IF(U13="Impacto",M13,"")),"")</f>
        <v>0.36</v>
      </c>
      <c r="AC13" s="269" t="str">
        <f t="shared" si="1"/>
        <v>Baja</v>
      </c>
      <c r="AD13" s="124">
        <f t="shared" si="5"/>
        <v>0.36</v>
      </c>
      <c r="AE13" s="269" t="str">
        <f t="shared" ca="1" si="3"/>
        <v>Mayor</v>
      </c>
      <c r="AF13" s="264">
        <f ca="1">IFERROR(IF(U13="Impacto",(Q13-(+Q13*X13)),IF(U13="Probabilidad",Q13,"")),"")</f>
        <v>0.8</v>
      </c>
      <c r="AG13" s="265" t="str">
        <f t="shared" ca="1" si="4"/>
        <v>Alto</v>
      </c>
      <c r="AH13" s="266" t="s">
        <v>160</v>
      </c>
      <c r="AI13" s="458"/>
      <c r="AJ13" s="187" t="s">
        <v>424</v>
      </c>
      <c r="AK13" s="188" t="s">
        <v>596</v>
      </c>
      <c r="AL13" s="189" t="s">
        <v>207</v>
      </c>
      <c r="AM13" s="278" t="s">
        <v>593</v>
      </c>
      <c r="AN13" s="361" t="s">
        <v>165</v>
      </c>
      <c r="AO13" s="434"/>
      <c r="AP13" s="434"/>
      <c r="AQ13" s="434"/>
      <c r="AR13" s="362" t="s">
        <v>208</v>
      </c>
      <c r="AS13" s="277"/>
      <c r="AT13" s="277"/>
      <c r="AU13" s="277" t="s">
        <v>208</v>
      </c>
      <c r="AV13" s="277" t="s">
        <v>208</v>
      </c>
      <c r="AW13" s="164"/>
      <c r="AX13" s="164"/>
    </row>
    <row r="14" spans="1:72" s="7" customFormat="1" ht="151.5" customHeight="1" x14ac:dyDescent="0.3">
      <c r="A14" s="527"/>
      <c r="B14" s="527"/>
      <c r="C14" s="527"/>
      <c r="D14" s="527"/>
      <c r="E14" s="849"/>
      <c r="F14" s="850"/>
      <c r="G14" s="851"/>
      <c r="H14" s="850"/>
      <c r="I14" s="853"/>
      <c r="J14" s="854"/>
      <c r="K14" s="847"/>
      <c r="L14" s="448"/>
      <c r="M14" s="450"/>
      <c r="N14" s="452"/>
      <c r="O14" s="352"/>
      <c r="P14" s="453"/>
      <c r="Q14" s="450"/>
      <c r="R14" s="455"/>
      <c r="S14" s="345">
        <v>2</v>
      </c>
      <c r="T14" s="351" t="s">
        <v>598</v>
      </c>
      <c r="U14" s="260" t="s">
        <v>154</v>
      </c>
      <c r="V14" s="261" t="s">
        <v>169</v>
      </c>
      <c r="W14" s="261" t="s">
        <v>156</v>
      </c>
      <c r="X14" s="262" t="str">
        <f t="shared" si="0"/>
        <v>30%</v>
      </c>
      <c r="Y14" s="261" t="s">
        <v>157</v>
      </c>
      <c r="Z14" s="261" t="s">
        <v>158</v>
      </c>
      <c r="AA14" s="261" t="s">
        <v>159</v>
      </c>
      <c r="AB14" s="360">
        <f t="shared" ref="AB14" si="6">IFERROR(IF(U14="Probabilidad",(AB13-(+AB13*X14)),IF(U14="Impacto",AB13,"")),"")</f>
        <v>0.252</v>
      </c>
      <c r="AC14" s="269" t="str">
        <f t="shared" si="1"/>
        <v>Baja</v>
      </c>
      <c r="AD14" s="124">
        <f t="shared" si="5"/>
        <v>0.252</v>
      </c>
      <c r="AE14" s="269" t="str">
        <f t="shared" ca="1" si="3"/>
        <v>Mayor</v>
      </c>
      <c r="AF14" s="264">
        <f t="shared" ref="AF14" ca="1" si="7">IFERROR(IF(U14="Impacto",(Q13-(+Q13*X14)),IF(U14="Probabilidad",Q13,"")),"")</f>
        <v>0.8</v>
      </c>
      <c r="AG14" s="265" t="str">
        <f t="shared" ca="1" si="4"/>
        <v>Alto</v>
      </c>
      <c r="AH14" s="266" t="s">
        <v>160</v>
      </c>
      <c r="AI14" s="459"/>
      <c r="AJ14" s="187" t="s">
        <v>424</v>
      </c>
      <c r="AK14" s="188" t="s">
        <v>596</v>
      </c>
      <c r="AL14" s="189" t="s">
        <v>207</v>
      </c>
      <c r="AM14" s="278" t="s">
        <v>593</v>
      </c>
      <c r="AN14" s="361" t="s">
        <v>165</v>
      </c>
      <c r="AO14" s="440"/>
      <c r="AP14" s="440"/>
      <c r="AQ14" s="440"/>
      <c r="AR14" s="384" t="s">
        <v>208</v>
      </c>
      <c r="AS14" s="363"/>
      <c r="AT14" s="378" t="s">
        <v>208</v>
      </c>
      <c r="AU14" s="374" t="s">
        <v>208</v>
      </c>
      <c r="AV14" s="367"/>
      <c r="AW14" s="164"/>
      <c r="AX14" s="164"/>
    </row>
    <row r="15" spans="1:72" ht="49.5" customHeight="1" x14ac:dyDescent="0.3">
      <c r="E15" s="6"/>
      <c r="F15" s="844" t="s">
        <v>445</v>
      </c>
      <c r="G15" s="845"/>
      <c r="H15" s="845"/>
      <c r="I15" s="845"/>
      <c r="J15" s="845"/>
      <c r="K15" s="845"/>
      <c r="L15" s="845"/>
      <c r="M15" s="845"/>
      <c r="N15" s="845"/>
      <c r="O15" s="845"/>
      <c r="P15" s="845"/>
      <c r="Q15" s="845"/>
      <c r="R15" s="845"/>
      <c r="S15" s="845"/>
      <c r="T15" s="845"/>
      <c r="U15" s="845"/>
      <c r="V15" s="845"/>
      <c r="W15" s="845"/>
      <c r="X15" s="845"/>
      <c r="Y15" s="845"/>
      <c r="Z15" s="845"/>
      <c r="AA15" s="845"/>
      <c r="AB15" s="845"/>
      <c r="AC15" s="845"/>
      <c r="AD15" s="845"/>
      <c r="AE15" s="845"/>
      <c r="AF15" s="845"/>
      <c r="AG15" s="845"/>
      <c r="AH15" s="845"/>
      <c r="AI15" s="845"/>
      <c r="AJ15" s="845"/>
      <c r="AK15" s="845"/>
      <c r="AL15" s="845"/>
      <c r="AM15" s="845"/>
      <c r="AN15" s="846"/>
      <c r="AT15" s="383"/>
      <c r="AU15" s="372"/>
      <c r="AV15" s="373"/>
    </row>
    <row r="17" spans="5:10" x14ac:dyDescent="0.3">
      <c r="E17" s="1"/>
      <c r="F17" s="24" t="s">
        <v>446</v>
      </c>
      <c r="G17" s="1"/>
      <c r="H17" s="1"/>
      <c r="J17" s="1"/>
    </row>
  </sheetData>
  <dataConsolidate/>
  <mergeCells count="109">
    <mergeCell ref="A1:H3"/>
    <mergeCell ref="I1:AQ3"/>
    <mergeCell ref="AR1:AV1"/>
    <mergeCell ref="AR2:AV2"/>
    <mergeCell ref="AR3:AV3"/>
    <mergeCell ref="A4:AV4"/>
    <mergeCell ref="D7:D8"/>
    <mergeCell ref="E7:E8"/>
    <mergeCell ref="F7:F8"/>
    <mergeCell ref="A5:AH5"/>
    <mergeCell ref="AI5:AN5"/>
    <mergeCell ref="AO5:AV5"/>
    <mergeCell ref="A6:K6"/>
    <mergeCell ref="L6:R6"/>
    <mergeCell ref="S6:AA6"/>
    <mergeCell ref="AB6:AH6"/>
    <mergeCell ref="AI6:AN6"/>
    <mergeCell ref="AO6:AQ6"/>
    <mergeCell ref="AR6:AV7"/>
    <mergeCell ref="AN7:AN8"/>
    <mergeCell ref="AO7:AQ7"/>
    <mergeCell ref="AD7:AD8"/>
    <mergeCell ref="AE7:AE8"/>
    <mergeCell ref="AF7:AF8"/>
    <mergeCell ref="AG7:AG8"/>
    <mergeCell ref="AH7:AH8"/>
    <mergeCell ref="AI7:AI8"/>
    <mergeCell ref="S7:S8"/>
    <mergeCell ref="T7:T8"/>
    <mergeCell ref="U7:U8"/>
    <mergeCell ref="V7:AA7"/>
    <mergeCell ref="AB7:AB8"/>
    <mergeCell ref="AC7:AC8"/>
    <mergeCell ref="A9:A14"/>
    <mergeCell ref="B9:B14"/>
    <mergeCell ref="C9:C14"/>
    <mergeCell ref="D9:D14"/>
    <mergeCell ref="E9:E10"/>
    <mergeCell ref="AJ7:AJ8"/>
    <mergeCell ref="AK7:AK8"/>
    <mergeCell ref="AL7:AL8"/>
    <mergeCell ref="AM7:AM8"/>
    <mergeCell ref="M7:M8"/>
    <mergeCell ref="N7:N8"/>
    <mergeCell ref="O7:O8"/>
    <mergeCell ref="P7:P8"/>
    <mergeCell ref="Q7:Q8"/>
    <mergeCell ref="R7:R8"/>
    <mergeCell ref="G7:G8"/>
    <mergeCell ref="H7:H8"/>
    <mergeCell ref="I7:I8"/>
    <mergeCell ref="J7:J8"/>
    <mergeCell ref="K7:K8"/>
    <mergeCell ref="L7:L8"/>
    <mergeCell ref="A7:A8"/>
    <mergeCell ref="B7:B8"/>
    <mergeCell ref="C7:C8"/>
    <mergeCell ref="R9:R10"/>
    <mergeCell ref="AI9:AI10"/>
    <mergeCell ref="AO9:AO10"/>
    <mergeCell ref="AP9:AP10"/>
    <mergeCell ref="AQ9:AQ10"/>
    <mergeCell ref="E11:E12"/>
    <mergeCell ref="F11:F12"/>
    <mergeCell ref="G11:G12"/>
    <mergeCell ref="H11:H12"/>
    <mergeCell ref="I11:I12"/>
    <mergeCell ref="L9:L10"/>
    <mergeCell ref="M9:M10"/>
    <mergeCell ref="N9:N10"/>
    <mergeCell ref="O9:O10"/>
    <mergeCell ref="P9:P10"/>
    <mergeCell ref="Q9:Q10"/>
    <mergeCell ref="F9:F10"/>
    <mergeCell ref="G9:G10"/>
    <mergeCell ref="H9:H10"/>
    <mergeCell ref="I9:I10"/>
    <mergeCell ref="J9:J10"/>
    <mergeCell ref="K9:K10"/>
    <mergeCell ref="AO11:AO12"/>
    <mergeCell ref="AP11:AP12"/>
    <mergeCell ref="AQ11:AQ12"/>
    <mergeCell ref="J11:J12"/>
    <mergeCell ref="K11:K12"/>
    <mergeCell ref="L11:L12"/>
    <mergeCell ref="M11:M12"/>
    <mergeCell ref="N11:N12"/>
    <mergeCell ref="P11:P12"/>
    <mergeCell ref="E13:E14"/>
    <mergeCell ref="F13:F14"/>
    <mergeCell ref="G13:G14"/>
    <mergeCell ref="H13:H14"/>
    <mergeCell ref="I13:I14"/>
    <mergeCell ref="J13:J14"/>
    <mergeCell ref="Q11:Q12"/>
    <mergeCell ref="R11:R12"/>
    <mergeCell ref="AI11:AI12"/>
    <mergeCell ref="F15:AN15"/>
    <mergeCell ref="R13:R14"/>
    <mergeCell ref="AI13:AI14"/>
    <mergeCell ref="AO13:AO14"/>
    <mergeCell ref="AP13:AP14"/>
    <mergeCell ref="AQ13:AQ14"/>
    <mergeCell ref="K13:K14"/>
    <mergeCell ref="L13:L14"/>
    <mergeCell ref="M13:M14"/>
    <mergeCell ref="N13:N14"/>
    <mergeCell ref="P13:P14"/>
    <mergeCell ref="Q13:Q14"/>
  </mergeCells>
  <conditionalFormatting sqref="O9">
    <cfRule type="containsText" dxfId="108" priority="629" operator="containsText" text="❌">
      <formula>NOT(ISERROR(SEARCH("❌",O9)))</formula>
    </cfRule>
  </conditionalFormatting>
  <conditionalFormatting sqref="L9">
    <cfRule type="cellIs" dxfId="107" priority="255" operator="equal">
      <formula>"Muy Alta"</formula>
    </cfRule>
    <cfRule type="cellIs" dxfId="106" priority="256" operator="equal">
      <formula>"Alta"</formula>
    </cfRule>
    <cfRule type="cellIs" dxfId="105" priority="257" operator="equal">
      <formula>"Media"</formula>
    </cfRule>
    <cfRule type="cellIs" dxfId="104" priority="258" operator="equal">
      <formula>"Baja"</formula>
    </cfRule>
    <cfRule type="cellIs" dxfId="103" priority="259" operator="equal">
      <formula>"Muy Baja"</formula>
    </cfRule>
  </conditionalFormatting>
  <conditionalFormatting sqref="P9">
    <cfRule type="cellIs" dxfId="102" priority="250" operator="equal">
      <formula>"Catastrófico"</formula>
    </cfRule>
    <cfRule type="cellIs" dxfId="101" priority="251" operator="equal">
      <formula>"Mayor"</formula>
    </cfRule>
    <cfRule type="cellIs" dxfId="100" priority="252" operator="equal">
      <formula>"Moderado"</formula>
    </cfRule>
    <cfRule type="cellIs" dxfId="99" priority="253" operator="equal">
      <formula>"Menor"</formula>
    </cfRule>
    <cfRule type="cellIs" dxfId="98" priority="254" operator="equal">
      <formula>"Leve"</formula>
    </cfRule>
  </conditionalFormatting>
  <conditionalFormatting sqref="R9">
    <cfRule type="cellIs" dxfId="97" priority="246" operator="equal">
      <formula>"Extremo"</formula>
    </cfRule>
    <cfRule type="cellIs" dxfId="96" priority="247" operator="equal">
      <formula>"Alto"</formula>
    </cfRule>
    <cfRule type="cellIs" dxfId="95" priority="248" operator="equal">
      <formula>"Moderado"</formula>
    </cfRule>
    <cfRule type="cellIs" dxfId="94" priority="249" operator="equal">
      <formula>"Bajo"</formula>
    </cfRule>
  </conditionalFormatting>
  <conditionalFormatting sqref="AC9:AC14">
    <cfRule type="cellIs" dxfId="93" priority="241" operator="equal">
      <formula>"Muy Alta"</formula>
    </cfRule>
    <cfRule type="cellIs" dxfId="92" priority="242" operator="equal">
      <formula>"Alta"</formula>
    </cfRule>
    <cfRule type="cellIs" dxfId="91" priority="243" operator="equal">
      <formula>"Media"</formula>
    </cfRule>
    <cfRule type="cellIs" dxfId="90" priority="244" operator="equal">
      <formula>"Baja"</formula>
    </cfRule>
    <cfRule type="cellIs" dxfId="89" priority="245" operator="equal">
      <formula>"Muy Baja"</formula>
    </cfRule>
  </conditionalFormatting>
  <conditionalFormatting sqref="AE9:AE14">
    <cfRule type="cellIs" dxfId="88" priority="236" operator="equal">
      <formula>"Catastrófico"</formula>
    </cfRule>
    <cfRule type="cellIs" dxfId="87" priority="237" operator="equal">
      <formula>"Mayor"</formula>
    </cfRule>
    <cfRule type="cellIs" dxfId="86" priority="238" operator="equal">
      <formula>"Moderado"</formula>
    </cfRule>
    <cfRule type="cellIs" dxfId="85" priority="239" operator="equal">
      <formula>"Menor"</formula>
    </cfRule>
    <cfRule type="cellIs" dxfId="84" priority="240" operator="equal">
      <formula>"Leve"</formula>
    </cfRule>
  </conditionalFormatting>
  <conditionalFormatting sqref="AG9:AG14">
    <cfRule type="cellIs" dxfId="83" priority="232" operator="equal">
      <formula>"Extremo"</formula>
    </cfRule>
    <cfRule type="cellIs" dxfId="82" priority="233" operator="equal">
      <formula>"Alto"</formula>
    </cfRule>
    <cfRule type="cellIs" dxfId="81" priority="234" operator="equal">
      <formula>"Moderado"</formula>
    </cfRule>
    <cfRule type="cellIs" dxfId="80" priority="235" operator="equal">
      <formula>"Bajo"</formula>
    </cfRule>
  </conditionalFormatting>
  <conditionalFormatting sqref="P11 P13">
    <cfRule type="cellIs" dxfId="79" priority="8" operator="equal">
      <formula>"Catastrófico"</formula>
    </cfRule>
    <cfRule type="cellIs" dxfId="78" priority="9" operator="equal">
      <formula>"Mayor"</formula>
    </cfRule>
    <cfRule type="cellIs" dxfId="77" priority="10" operator="equal">
      <formula>"Moderado"</formula>
    </cfRule>
    <cfRule type="cellIs" dxfId="76" priority="11" operator="equal">
      <formula>"Menor"</formula>
    </cfRule>
    <cfRule type="cellIs" dxfId="75" priority="12" operator="equal">
      <formula>"Leve"</formula>
    </cfRule>
  </conditionalFormatting>
  <conditionalFormatting sqref="R11 R13">
    <cfRule type="cellIs" dxfId="74" priority="4" operator="equal">
      <formula>"Extremo"</formula>
    </cfRule>
    <cfRule type="cellIs" dxfId="73" priority="5" operator="equal">
      <formula>"Alto"</formula>
    </cfRule>
    <cfRule type="cellIs" dxfId="72" priority="6" operator="equal">
      <formula>"Moderado"</formula>
    </cfRule>
    <cfRule type="cellIs" dxfId="71" priority="7" operator="equal">
      <formula>"Bajo"</formula>
    </cfRule>
  </conditionalFormatting>
  <conditionalFormatting sqref="L11 L13">
    <cfRule type="cellIs" dxfId="70" priority="13" operator="equal">
      <formula>"Muy Alta"</formula>
    </cfRule>
    <cfRule type="cellIs" dxfId="69" priority="14" operator="equal">
      <formula>"Alta"</formula>
    </cfRule>
    <cfRule type="cellIs" dxfId="68" priority="15" operator="equal">
      <formula>"Media"</formula>
    </cfRule>
    <cfRule type="cellIs" dxfId="67" priority="16" operator="equal">
      <formula>"Baja"</formula>
    </cfRule>
    <cfRule type="cellIs" dxfId="66" priority="17" operator="equal">
      <formula>"Muy Baja"</formula>
    </cfRule>
  </conditionalFormatting>
  <conditionalFormatting sqref="O11:O14">
    <cfRule type="containsText" dxfId="65" priority="3" operator="containsText" text="❌">
      <formula>NOT(ISERROR(SEARCH("❌",O11)))</formula>
    </cfRule>
  </conditionalFormatting>
  <pageMargins left="0.70866141732283472" right="0.70866141732283472" top="0.74803149606299213" bottom="0.74803149606299213" header="0.31496062992125984" footer="0.31496062992125984"/>
  <pageSetup scale="16" fitToHeight="0" orientation="landscape" r:id="rId1"/>
  <colBreaks count="1" manualBreakCount="1">
    <brk id="48" max="1048575" man="1"/>
  </colBreaks>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9726F-111F-4D10-805C-F8A23308AE71}">
  <sheetPr>
    <tabColor rgb="FF002060"/>
    <pageSetUpPr fitToPage="1"/>
  </sheetPr>
  <dimension ref="A1:BT32"/>
  <sheetViews>
    <sheetView view="pageBreakPreview" topLeftCell="K1" zoomScale="69" zoomScaleNormal="28" zoomScaleSheetLayoutView="69" workbookViewId="0">
      <selection activeCell="F30" sqref="A30:XFD63"/>
    </sheetView>
  </sheetViews>
  <sheetFormatPr baseColWidth="10" defaultColWidth="11.42578125" defaultRowHeight="16.5" x14ac:dyDescent="0.3"/>
  <cols>
    <col min="1" max="1" width="8.7109375" style="1" customWidth="1"/>
    <col min="2" max="2" width="25.42578125" style="1" customWidth="1"/>
    <col min="3" max="3" width="20.7109375" style="1" customWidth="1"/>
    <col min="4" max="4" width="7.140625" style="1" customWidth="1"/>
    <col min="5" max="5" width="4" style="2" customWidth="1"/>
    <col min="6" max="6" width="16.85546875" style="2" customWidth="1"/>
    <col min="7" max="7" width="17.7109375" style="2" customWidth="1"/>
    <col min="8" max="8" width="24.28515625" style="2" customWidth="1"/>
    <col min="9" max="9" width="28.140625" style="1" customWidth="1"/>
    <col min="10" max="10" width="19" style="5" customWidth="1"/>
    <col min="11" max="11" width="17.85546875" style="1" customWidth="1"/>
    <col min="12" max="12" width="20.42578125" style="1" customWidth="1"/>
    <col min="13" max="13" width="6.28515625" style="1" bestFit="1" customWidth="1"/>
    <col min="14" max="14" width="31.28515625" style="1" bestFit="1" customWidth="1"/>
    <col min="15" max="15" width="42.85546875" style="1" hidden="1" customWidth="1"/>
    <col min="16" max="16" width="20" style="1" customWidth="1"/>
    <col min="17" max="17" width="10.140625" style="1" customWidth="1"/>
    <col min="18" max="18" width="16" style="1" customWidth="1"/>
    <col min="19" max="19" width="5.85546875" style="1" customWidth="1"/>
    <col min="20" max="20" width="43.42578125" style="1" customWidth="1"/>
    <col min="21" max="21" width="17.42578125" style="1" customWidth="1"/>
    <col min="22" max="22" width="6.85546875" style="1" customWidth="1"/>
    <col min="23" max="23" width="5" style="1" customWidth="1"/>
    <col min="24" max="24" width="8.42578125" style="1" customWidth="1"/>
    <col min="25" max="25" width="7.140625" style="1" customWidth="1"/>
    <col min="26" max="26" width="6.7109375" style="1" customWidth="1"/>
    <col min="27" max="27" width="7.42578125" style="1" customWidth="1"/>
    <col min="28" max="28" width="12.42578125" style="1" customWidth="1"/>
    <col min="29" max="29" width="8.7109375" style="1" customWidth="1"/>
    <col min="30" max="30" width="8.28515625" style="1" bestFit="1" customWidth="1"/>
    <col min="31" max="31" width="9.28515625" style="1" customWidth="1"/>
    <col min="32" max="32" width="9.140625" style="1" customWidth="1"/>
    <col min="33" max="33" width="8.42578125" style="1" customWidth="1"/>
    <col min="34" max="34" width="7.28515625" style="1" customWidth="1"/>
    <col min="35" max="35" width="35.7109375" style="1" customWidth="1"/>
    <col min="36" max="36" width="22.140625" style="1" customWidth="1"/>
    <col min="37" max="37" width="25" style="1" customWidth="1"/>
    <col min="38" max="38" width="19.28515625" style="1" customWidth="1"/>
    <col min="39" max="39" width="36.42578125" style="1" customWidth="1"/>
    <col min="40" max="40" width="21" style="1" customWidth="1"/>
    <col min="41" max="43" width="24.42578125" style="1" customWidth="1"/>
    <col min="44" max="48" width="11.140625" style="1" customWidth="1"/>
    <col min="49" max="16384" width="11.42578125" style="1"/>
  </cols>
  <sheetData>
    <row r="1" spans="1:72" ht="48" customHeight="1" thickBot="1" x14ac:dyDescent="0.35">
      <c r="A1" s="600"/>
      <c r="B1" s="601"/>
      <c r="C1" s="601"/>
      <c r="D1" s="601"/>
      <c r="E1" s="601"/>
      <c r="F1" s="601"/>
      <c r="G1" s="601"/>
      <c r="H1" s="602"/>
      <c r="I1" s="579" t="s">
        <v>94</v>
      </c>
      <c r="J1" s="580"/>
      <c r="K1" s="580"/>
      <c r="L1" s="580"/>
      <c r="M1" s="580"/>
      <c r="N1" s="580"/>
      <c r="O1" s="580"/>
      <c r="P1" s="580"/>
      <c r="Q1" s="580"/>
      <c r="R1" s="580"/>
      <c r="S1" s="580"/>
      <c r="T1" s="580"/>
      <c r="U1" s="580"/>
      <c r="V1" s="580"/>
      <c r="W1" s="580"/>
      <c r="X1" s="580"/>
      <c r="Y1" s="580"/>
      <c r="Z1" s="580"/>
      <c r="AA1" s="580"/>
      <c r="AB1" s="580"/>
      <c r="AC1" s="580"/>
      <c r="AD1" s="580"/>
      <c r="AE1" s="580"/>
      <c r="AF1" s="580"/>
      <c r="AG1" s="580"/>
      <c r="AH1" s="580"/>
      <c r="AI1" s="580"/>
      <c r="AJ1" s="580"/>
      <c r="AK1" s="580"/>
      <c r="AL1" s="580"/>
      <c r="AM1" s="580"/>
      <c r="AN1" s="580"/>
      <c r="AO1" s="580"/>
      <c r="AP1" s="580"/>
      <c r="AQ1" s="581"/>
      <c r="AR1" s="864" t="s">
        <v>95</v>
      </c>
      <c r="AS1" s="865"/>
      <c r="AT1" s="865"/>
      <c r="AU1" s="865"/>
      <c r="AV1" s="866"/>
      <c r="AW1" s="7"/>
      <c r="AX1" s="7"/>
      <c r="AY1" s="7"/>
      <c r="AZ1" s="7"/>
      <c r="BA1" s="7"/>
      <c r="BB1" s="7"/>
      <c r="BC1" s="7"/>
      <c r="BD1" s="7"/>
      <c r="BE1" s="7"/>
      <c r="BF1" s="7"/>
      <c r="BG1" s="7"/>
      <c r="BH1" s="7"/>
      <c r="BI1" s="7"/>
      <c r="BJ1" s="7"/>
      <c r="BK1" s="7"/>
      <c r="BL1" s="7"/>
      <c r="BM1" s="7"/>
      <c r="BN1" s="7"/>
      <c r="BO1" s="7"/>
      <c r="BP1" s="7"/>
      <c r="BQ1" s="7" t="s">
        <v>0</v>
      </c>
      <c r="BR1" s="7"/>
      <c r="BS1" s="7"/>
      <c r="BT1" s="7"/>
    </row>
    <row r="2" spans="1:72" ht="48" customHeight="1" thickBot="1" x14ac:dyDescent="0.35">
      <c r="A2" s="603"/>
      <c r="B2" s="604"/>
      <c r="C2" s="604"/>
      <c r="D2" s="604"/>
      <c r="E2" s="604"/>
      <c r="F2" s="604"/>
      <c r="G2" s="604"/>
      <c r="H2" s="605"/>
      <c r="I2" s="582"/>
      <c r="J2" s="583"/>
      <c r="K2" s="583"/>
      <c r="L2" s="583"/>
      <c r="M2" s="583"/>
      <c r="N2" s="583"/>
      <c r="O2" s="583"/>
      <c r="P2" s="583"/>
      <c r="Q2" s="583"/>
      <c r="R2" s="583"/>
      <c r="S2" s="583"/>
      <c r="T2" s="583"/>
      <c r="U2" s="583"/>
      <c r="V2" s="583"/>
      <c r="W2" s="583"/>
      <c r="X2" s="583"/>
      <c r="Y2" s="583"/>
      <c r="Z2" s="583"/>
      <c r="AA2" s="583"/>
      <c r="AB2" s="583"/>
      <c r="AC2" s="583"/>
      <c r="AD2" s="583"/>
      <c r="AE2" s="583"/>
      <c r="AF2" s="583"/>
      <c r="AG2" s="583"/>
      <c r="AH2" s="583"/>
      <c r="AI2" s="583"/>
      <c r="AJ2" s="583"/>
      <c r="AK2" s="583"/>
      <c r="AL2" s="583"/>
      <c r="AM2" s="583"/>
      <c r="AN2" s="583"/>
      <c r="AO2" s="583"/>
      <c r="AP2" s="583"/>
      <c r="AQ2" s="584"/>
      <c r="AR2" s="864" t="s">
        <v>96</v>
      </c>
      <c r="AS2" s="865"/>
      <c r="AT2" s="865"/>
      <c r="AU2" s="865"/>
      <c r="AV2" s="866"/>
      <c r="AW2" s="7"/>
      <c r="AX2" s="7"/>
      <c r="AY2" s="7"/>
      <c r="AZ2" s="7"/>
      <c r="BA2" s="7"/>
      <c r="BB2" s="7"/>
      <c r="BC2" s="7"/>
      <c r="BD2" s="7"/>
      <c r="BE2" s="7"/>
      <c r="BF2" s="7"/>
      <c r="BG2" s="7"/>
      <c r="BH2" s="7"/>
      <c r="BI2" s="7"/>
      <c r="BJ2" s="7"/>
      <c r="BK2" s="7"/>
      <c r="BL2" s="7"/>
      <c r="BM2" s="7"/>
      <c r="BN2" s="7"/>
      <c r="BO2" s="7"/>
      <c r="BP2" s="7"/>
      <c r="BQ2" s="1" t="s">
        <v>97</v>
      </c>
      <c r="BR2" s="7"/>
      <c r="BS2" s="7"/>
      <c r="BT2" s="7"/>
    </row>
    <row r="3" spans="1:72" ht="48" customHeight="1" thickBot="1" x14ac:dyDescent="0.35">
      <c r="A3" s="603"/>
      <c r="B3" s="604"/>
      <c r="C3" s="604"/>
      <c r="D3" s="604"/>
      <c r="E3" s="604"/>
      <c r="F3" s="604"/>
      <c r="G3" s="604"/>
      <c r="H3" s="605"/>
      <c r="I3" s="582"/>
      <c r="J3" s="583"/>
      <c r="K3" s="583"/>
      <c r="L3" s="583"/>
      <c r="M3" s="583"/>
      <c r="N3" s="583"/>
      <c r="O3" s="583"/>
      <c r="P3" s="583"/>
      <c r="Q3" s="583"/>
      <c r="R3" s="583"/>
      <c r="S3" s="583"/>
      <c r="T3" s="583"/>
      <c r="U3" s="583"/>
      <c r="V3" s="583"/>
      <c r="W3" s="583"/>
      <c r="X3" s="583"/>
      <c r="Y3" s="583"/>
      <c r="Z3" s="583"/>
      <c r="AA3" s="583"/>
      <c r="AB3" s="583"/>
      <c r="AC3" s="583"/>
      <c r="AD3" s="583"/>
      <c r="AE3" s="583"/>
      <c r="AF3" s="583"/>
      <c r="AG3" s="583"/>
      <c r="AH3" s="583"/>
      <c r="AI3" s="583"/>
      <c r="AJ3" s="583"/>
      <c r="AK3" s="583"/>
      <c r="AL3" s="583"/>
      <c r="AM3" s="583"/>
      <c r="AN3" s="583"/>
      <c r="AO3" s="583"/>
      <c r="AP3" s="583"/>
      <c r="AQ3" s="584"/>
      <c r="AR3" s="867" t="s">
        <v>98</v>
      </c>
      <c r="AS3" s="868"/>
      <c r="AT3" s="868"/>
      <c r="AU3" s="868"/>
      <c r="AV3" s="869"/>
      <c r="AW3" s="7"/>
      <c r="AX3" s="7"/>
      <c r="AY3" s="7"/>
      <c r="AZ3" s="7"/>
      <c r="BA3" s="7"/>
      <c r="BB3" s="7"/>
      <c r="BC3" s="7"/>
      <c r="BD3" s="7"/>
      <c r="BE3" s="7"/>
      <c r="BF3" s="7"/>
      <c r="BG3" s="7"/>
      <c r="BH3" s="7"/>
      <c r="BI3" s="7"/>
      <c r="BJ3" s="7"/>
      <c r="BK3" s="7"/>
      <c r="BL3" s="7"/>
      <c r="BM3" s="7"/>
      <c r="BN3" s="7"/>
      <c r="BO3" s="7"/>
      <c r="BP3" s="7"/>
      <c r="BQ3" s="7" t="s">
        <v>99</v>
      </c>
      <c r="BR3" s="7"/>
      <c r="BS3" s="7"/>
      <c r="BT3" s="7"/>
    </row>
    <row r="4" spans="1:72" ht="33" customHeight="1" thickBot="1" x14ac:dyDescent="0.4">
      <c r="A4" s="537" t="s">
        <v>590</v>
      </c>
      <c r="B4" s="538"/>
      <c r="C4" s="538"/>
      <c r="D4" s="538"/>
      <c r="E4" s="538"/>
      <c r="F4" s="538"/>
      <c r="G4" s="538"/>
      <c r="H4" s="538"/>
      <c r="I4" s="538"/>
      <c r="J4" s="538"/>
      <c r="K4" s="538"/>
      <c r="L4" s="538"/>
      <c r="M4" s="538"/>
      <c r="N4" s="538"/>
      <c r="O4" s="538"/>
      <c r="P4" s="538"/>
      <c r="Q4" s="538"/>
      <c r="R4" s="538"/>
      <c r="S4" s="538"/>
      <c r="T4" s="538"/>
      <c r="U4" s="538"/>
      <c r="V4" s="538"/>
      <c r="W4" s="538"/>
      <c r="X4" s="538"/>
      <c r="Y4" s="538"/>
      <c r="Z4" s="538"/>
      <c r="AA4" s="538"/>
      <c r="AB4" s="538"/>
      <c r="AC4" s="538"/>
      <c r="AD4" s="538"/>
      <c r="AE4" s="538"/>
      <c r="AF4" s="538"/>
      <c r="AG4" s="538"/>
      <c r="AH4" s="538"/>
      <c r="AI4" s="538"/>
      <c r="AJ4" s="538"/>
      <c r="AK4" s="538"/>
      <c r="AL4" s="538"/>
      <c r="AM4" s="538"/>
      <c r="AN4" s="538"/>
      <c r="AO4" s="538"/>
      <c r="AP4" s="538"/>
      <c r="AQ4" s="538"/>
      <c r="AR4" s="538"/>
      <c r="AS4" s="538"/>
      <c r="AT4" s="538"/>
      <c r="AU4" s="538"/>
      <c r="AV4" s="539"/>
      <c r="AW4" s="7"/>
      <c r="AX4" s="7"/>
      <c r="AY4" s="7"/>
      <c r="AZ4" s="7"/>
      <c r="BA4" s="7"/>
      <c r="BB4" s="7"/>
      <c r="BC4" s="7"/>
      <c r="BD4" s="7"/>
      <c r="BE4" s="7"/>
      <c r="BF4" s="7"/>
      <c r="BG4" s="7"/>
      <c r="BH4" s="7"/>
      <c r="BI4" s="7"/>
      <c r="BJ4" s="7"/>
      <c r="BK4" s="7"/>
      <c r="BL4" s="7"/>
      <c r="BM4" s="7"/>
      <c r="BN4" s="7"/>
      <c r="BO4" s="7"/>
      <c r="BP4" s="7"/>
      <c r="BQ4" s="7"/>
      <c r="BR4" s="7"/>
      <c r="BS4" s="7"/>
      <c r="BT4" s="7"/>
    </row>
    <row r="5" spans="1:72" ht="133.5" customHeight="1" x14ac:dyDescent="0.3">
      <c r="A5" s="594" t="s">
        <v>100</v>
      </c>
      <c r="B5" s="560"/>
      <c r="C5" s="560"/>
      <c r="D5" s="560"/>
      <c r="E5" s="560"/>
      <c r="F5" s="560"/>
      <c r="G5" s="560"/>
      <c r="H5" s="560"/>
      <c r="I5" s="560"/>
      <c r="J5" s="560"/>
      <c r="K5" s="560"/>
      <c r="L5" s="560"/>
      <c r="M5" s="560"/>
      <c r="N5" s="560"/>
      <c r="O5" s="560"/>
      <c r="P5" s="560"/>
      <c r="Q5" s="560"/>
      <c r="R5" s="560"/>
      <c r="S5" s="560"/>
      <c r="T5" s="560"/>
      <c r="U5" s="560"/>
      <c r="V5" s="560"/>
      <c r="W5" s="560"/>
      <c r="X5" s="560"/>
      <c r="Y5" s="560"/>
      <c r="Z5" s="560"/>
      <c r="AA5" s="560"/>
      <c r="AB5" s="560"/>
      <c r="AC5" s="560"/>
      <c r="AD5" s="560"/>
      <c r="AE5" s="560"/>
      <c r="AF5" s="560"/>
      <c r="AG5" s="560"/>
      <c r="AH5" s="560"/>
      <c r="AI5" s="595" t="s">
        <v>101</v>
      </c>
      <c r="AJ5" s="563"/>
      <c r="AK5" s="563"/>
      <c r="AL5" s="563"/>
      <c r="AM5" s="563"/>
      <c r="AN5" s="551"/>
      <c r="AO5" s="595" t="s">
        <v>102</v>
      </c>
      <c r="AP5" s="563"/>
      <c r="AQ5" s="563"/>
      <c r="AR5" s="563"/>
      <c r="AS5" s="563"/>
      <c r="AT5" s="563"/>
      <c r="AU5" s="563"/>
      <c r="AV5" s="563"/>
      <c r="AW5" s="7"/>
      <c r="AX5" s="7"/>
      <c r="AY5" s="7"/>
      <c r="AZ5" s="7"/>
      <c r="BA5" s="7"/>
      <c r="BB5" s="7"/>
      <c r="BC5" s="7"/>
      <c r="BD5" s="7"/>
      <c r="BE5" s="7"/>
      <c r="BF5" s="7"/>
      <c r="BG5" s="7"/>
      <c r="BH5" s="7"/>
      <c r="BI5" s="7"/>
      <c r="BJ5" s="7"/>
      <c r="BK5" s="7"/>
      <c r="BL5" s="7"/>
      <c r="BM5" s="7"/>
      <c r="BN5" s="7"/>
      <c r="BO5" s="7"/>
      <c r="BP5" s="7"/>
      <c r="BQ5" s="7" t="s">
        <v>103</v>
      </c>
      <c r="BR5" s="7"/>
      <c r="BS5" s="7"/>
      <c r="BT5" s="7"/>
    </row>
    <row r="6" spans="1:72" ht="30" customHeight="1" x14ac:dyDescent="0.3">
      <c r="A6" s="566" t="s">
        <v>104</v>
      </c>
      <c r="B6" s="567"/>
      <c r="C6" s="567"/>
      <c r="D6" s="567"/>
      <c r="E6" s="567"/>
      <c r="F6" s="567"/>
      <c r="G6" s="567"/>
      <c r="H6" s="567"/>
      <c r="I6" s="567"/>
      <c r="J6" s="567"/>
      <c r="K6" s="568"/>
      <c r="L6" s="540" t="s">
        <v>105</v>
      </c>
      <c r="M6" s="540"/>
      <c r="N6" s="540"/>
      <c r="O6" s="540"/>
      <c r="P6" s="540"/>
      <c r="Q6" s="540"/>
      <c r="R6" s="541"/>
      <c r="S6" s="542" t="s">
        <v>106</v>
      </c>
      <c r="T6" s="540"/>
      <c r="U6" s="540"/>
      <c r="V6" s="540"/>
      <c r="W6" s="540"/>
      <c r="X6" s="540"/>
      <c r="Y6" s="540"/>
      <c r="Z6" s="540"/>
      <c r="AA6" s="541"/>
      <c r="AB6" s="542" t="s">
        <v>107</v>
      </c>
      <c r="AC6" s="540"/>
      <c r="AD6" s="540"/>
      <c r="AE6" s="540"/>
      <c r="AF6" s="540"/>
      <c r="AG6" s="540"/>
      <c r="AH6" s="541"/>
      <c r="AI6" s="542" t="s">
        <v>108</v>
      </c>
      <c r="AJ6" s="540"/>
      <c r="AK6" s="540"/>
      <c r="AL6" s="540"/>
      <c r="AM6" s="540"/>
      <c r="AN6" s="541"/>
      <c r="AO6" s="591" t="s">
        <v>109</v>
      </c>
      <c r="AP6" s="592"/>
      <c r="AQ6" s="593"/>
      <c r="AR6" s="596" t="s">
        <v>110</v>
      </c>
      <c r="AS6" s="597"/>
      <c r="AT6" s="597"/>
      <c r="AU6" s="597"/>
      <c r="AV6" s="598"/>
      <c r="AW6" s="7"/>
      <c r="AX6" s="7"/>
      <c r="AY6" s="7"/>
      <c r="AZ6" s="7"/>
      <c r="BA6" s="7"/>
      <c r="BB6" s="7"/>
      <c r="BC6" s="7"/>
      <c r="BD6" s="7"/>
      <c r="BE6" s="7"/>
      <c r="BF6" s="7"/>
      <c r="BG6" s="7"/>
      <c r="BH6" s="7"/>
      <c r="BI6" s="7"/>
      <c r="BJ6" s="7"/>
      <c r="BK6" s="7"/>
      <c r="BL6" s="7"/>
      <c r="BM6" s="7"/>
      <c r="BN6" s="7"/>
      <c r="BO6" s="7"/>
      <c r="BP6" s="7"/>
      <c r="BQ6" s="7" t="s">
        <v>4</v>
      </c>
      <c r="BR6" s="7"/>
      <c r="BS6" s="7"/>
      <c r="BT6" s="7"/>
    </row>
    <row r="7" spans="1:72" ht="29.25" customHeight="1" x14ac:dyDescent="0.3">
      <c r="A7" s="569" t="s">
        <v>41</v>
      </c>
      <c r="B7" s="571" t="s">
        <v>43</v>
      </c>
      <c r="C7" s="573" t="s">
        <v>45</v>
      </c>
      <c r="D7" s="575" t="s">
        <v>111</v>
      </c>
      <c r="E7" s="577" t="s">
        <v>112</v>
      </c>
      <c r="F7" s="542" t="s">
        <v>49</v>
      </c>
      <c r="G7" s="548" t="s">
        <v>51</v>
      </c>
      <c r="H7" s="563" t="s">
        <v>53</v>
      </c>
      <c r="I7" s="548" t="s">
        <v>55</v>
      </c>
      <c r="J7" s="559" t="s">
        <v>57</v>
      </c>
      <c r="K7" s="548" t="s">
        <v>113</v>
      </c>
      <c r="L7" s="550" t="s">
        <v>114</v>
      </c>
      <c r="M7" s="552" t="s">
        <v>115</v>
      </c>
      <c r="N7" s="561" t="s">
        <v>116</v>
      </c>
      <c r="O7" s="561" t="s">
        <v>117</v>
      </c>
      <c r="P7" s="553" t="s">
        <v>118</v>
      </c>
      <c r="Q7" s="552" t="s">
        <v>115</v>
      </c>
      <c r="R7" s="562" t="s">
        <v>63</v>
      </c>
      <c r="S7" s="544" t="s">
        <v>119</v>
      </c>
      <c r="T7" s="543" t="s">
        <v>65</v>
      </c>
      <c r="U7" s="561" t="s">
        <v>67</v>
      </c>
      <c r="V7" s="543" t="s">
        <v>120</v>
      </c>
      <c r="W7" s="543"/>
      <c r="X7" s="543"/>
      <c r="Y7" s="543"/>
      <c r="Z7" s="543"/>
      <c r="AA7" s="543"/>
      <c r="AB7" s="546" t="s">
        <v>121</v>
      </c>
      <c r="AC7" s="546" t="s">
        <v>122</v>
      </c>
      <c r="AD7" s="546" t="s">
        <v>115</v>
      </c>
      <c r="AE7" s="546" t="s">
        <v>123</v>
      </c>
      <c r="AF7" s="546" t="s">
        <v>115</v>
      </c>
      <c r="AG7" s="546" t="s">
        <v>124</v>
      </c>
      <c r="AH7" s="544" t="s">
        <v>83</v>
      </c>
      <c r="AI7" s="543" t="s">
        <v>125</v>
      </c>
      <c r="AJ7" s="543" t="s">
        <v>126</v>
      </c>
      <c r="AK7" s="543" t="s">
        <v>127</v>
      </c>
      <c r="AL7" s="543" t="s">
        <v>128</v>
      </c>
      <c r="AM7" s="543" t="s">
        <v>129</v>
      </c>
      <c r="AN7" s="543" t="s">
        <v>87</v>
      </c>
      <c r="AO7" s="591" t="s">
        <v>130</v>
      </c>
      <c r="AP7" s="592"/>
      <c r="AQ7" s="593"/>
      <c r="AR7" s="599"/>
      <c r="AS7" s="563"/>
      <c r="AT7" s="563"/>
      <c r="AU7" s="563"/>
      <c r="AV7" s="551"/>
      <c r="AW7" s="7"/>
      <c r="AX7" s="7"/>
      <c r="AY7" s="7"/>
      <c r="AZ7" s="7"/>
      <c r="BA7" s="7"/>
      <c r="BB7" s="7"/>
      <c r="BC7" s="7"/>
      <c r="BD7" s="7"/>
      <c r="BE7" s="7"/>
      <c r="BF7" s="7"/>
      <c r="BG7" s="7"/>
      <c r="BH7" s="7"/>
      <c r="BI7" s="7"/>
      <c r="BJ7" s="7"/>
      <c r="BK7" s="7"/>
      <c r="BL7" s="7"/>
      <c r="BM7" s="7"/>
      <c r="BN7" s="7"/>
      <c r="BO7" s="7"/>
      <c r="BP7" s="7"/>
      <c r="BQ7" s="7" t="s">
        <v>8</v>
      </c>
      <c r="BR7" s="7"/>
      <c r="BS7" s="7"/>
      <c r="BT7" s="7"/>
    </row>
    <row r="8" spans="1:72" s="4" customFormat="1" ht="378" customHeight="1" x14ac:dyDescent="0.25">
      <c r="A8" s="570"/>
      <c r="B8" s="572"/>
      <c r="C8" s="574"/>
      <c r="D8" s="576"/>
      <c r="E8" s="578"/>
      <c r="F8" s="547"/>
      <c r="G8" s="549"/>
      <c r="H8" s="564"/>
      <c r="I8" s="549"/>
      <c r="J8" s="560"/>
      <c r="K8" s="549"/>
      <c r="L8" s="551"/>
      <c r="M8" s="542"/>
      <c r="N8" s="562"/>
      <c r="O8" s="562"/>
      <c r="P8" s="542"/>
      <c r="Q8" s="542"/>
      <c r="R8" s="543"/>
      <c r="S8" s="545"/>
      <c r="T8" s="543"/>
      <c r="U8" s="562"/>
      <c r="V8" s="123" t="s">
        <v>131</v>
      </c>
      <c r="W8" s="123" t="s">
        <v>132</v>
      </c>
      <c r="X8" s="123" t="s">
        <v>133</v>
      </c>
      <c r="Y8" s="123" t="s">
        <v>134</v>
      </c>
      <c r="Z8" s="123" t="s">
        <v>135</v>
      </c>
      <c r="AA8" s="123" t="s">
        <v>136</v>
      </c>
      <c r="AB8" s="546"/>
      <c r="AC8" s="546"/>
      <c r="AD8" s="546"/>
      <c r="AE8" s="546"/>
      <c r="AF8" s="546"/>
      <c r="AG8" s="546"/>
      <c r="AH8" s="545"/>
      <c r="AI8" s="543"/>
      <c r="AJ8" s="543"/>
      <c r="AK8" s="543"/>
      <c r="AL8" s="543"/>
      <c r="AM8" s="543"/>
      <c r="AN8" s="543"/>
      <c r="AO8" s="295" t="s">
        <v>137</v>
      </c>
      <c r="AP8" s="295" t="s">
        <v>138</v>
      </c>
      <c r="AQ8" s="295" t="s">
        <v>139</v>
      </c>
      <c r="AR8" s="126" t="s">
        <v>140</v>
      </c>
      <c r="AS8" s="127" t="s">
        <v>141</v>
      </c>
      <c r="AT8" s="128" t="s">
        <v>142</v>
      </c>
      <c r="AU8" s="129" t="s">
        <v>143</v>
      </c>
      <c r="AV8" s="130" t="s">
        <v>144</v>
      </c>
      <c r="AW8" s="25"/>
      <c r="AX8" s="25"/>
      <c r="AY8" s="25"/>
      <c r="AZ8" s="25"/>
      <c r="BA8" s="25"/>
      <c r="BB8" s="25"/>
      <c r="BC8" s="25"/>
      <c r="BD8" s="25"/>
      <c r="BE8" s="25"/>
      <c r="BF8" s="25"/>
      <c r="BG8" s="25"/>
      <c r="BH8" s="25"/>
      <c r="BI8" s="25"/>
      <c r="BJ8" s="25"/>
      <c r="BK8" s="25"/>
      <c r="BL8" s="25"/>
      <c r="BM8" s="25"/>
      <c r="BN8" s="25"/>
      <c r="BO8" s="25"/>
      <c r="BP8" s="25"/>
      <c r="BQ8" s="25" t="s">
        <v>10</v>
      </c>
      <c r="BR8" s="25"/>
      <c r="BS8" s="25"/>
      <c r="BT8" s="25"/>
    </row>
    <row r="9" spans="1:72" s="3" customFormat="1" ht="105.75" customHeight="1" x14ac:dyDescent="0.25">
      <c r="A9" s="627" t="s">
        <v>17</v>
      </c>
      <c r="B9" s="526" t="s">
        <v>289</v>
      </c>
      <c r="C9" s="630" t="s">
        <v>290</v>
      </c>
      <c r="D9" s="631" t="s">
        <v>30</v>
      </c>
      <c r="E9" s="632">
        <v>1</v>
      </c>
      <c r="F9" s="426" t="s">
        <v>223</v>
      </c>
      <c r="G9" s="426" t="s">
        <v>291</v>
      </c>
      <c r="H9" s="426" t="s">
        <v>292</v>
      </c>
      <c r="I9" s="523" t="s">
        <v>293</v>
      </c>
      <c r="J9" s="426" t="s">
        <v>151</v>
      </c>
      <c r="K9" s="426">
        <f>20*12</f>
        <v>240</v>
      </c>
      <c r="L9" s="428" t="str">
        <f>IF(K9&lt;=0,"",IF(K9&lt;=2,"Muy Baja",IF(K9&lt;=24,"Baja",IF(K9&lt;=500,"Media",IF(K9&lt;=5000,"Alta","Muy Alta")))))</f>
        <v>Media</v>
      </c>
      <c r="M9" s="430">
        <f>IF(L9="","",IF(L9="Muy Baja",0.2,IF(L9="Baja",0.4,IF(L9="Media",0.6,IF(L9="Alta",0.8,IF(L9="Muy Alta",1,))))))</f>
        <v>0.6</v>
      </c>
      <c r="N9" s="473" t="s">
        <v>152</v>
      </c>
      <c r="O9" s="430" t="str">
        <f>IF(NOT(ISERROR(MATCH(N9,'[5]Tabla Impacto'!$B$221:$B$223,0))),'[5]Tabla Impacto'!$F$223&amp;"Por favor no seleccionar los criterios de impacto(Afectación Económica o presupuestal y Pérdida Reputacional)",N9)</f>
        <v xml:space="preserve">     El riesgo afecta la imagen de la entidad con algunos usuarios de relevancia frente al logro de los objetivos</v>
      </c>
      <c r="P9" s="428" t="str">
        <f>IF(OR(O9='[5]Tabla Impacto'!$C$11,O9='[5]Tabla Impacto'!$D$11),"Leve",IF(OR(O9='[5]Tabla Impacto'!$C$12,O9='[5]Tabla Impacto'!$D$12),"Menor",IF(OR(O9='[5]Tabla Impacto'!$C$13,O9='[5]Tabla Impacto'!$D$13),"Moderado",IF(OR(O9='[5]Tabla Impacto'!$C$14,O9='[5]Tabla Impacto'!$D$14),"Mayor",IF(OR(O9='[5]Tabla Impacto'!$C$15,O9='[5]Tabla Impacto'!$D$15),"Catastrófico","")))))</f>
        <v>Moderado</v>
      </c>
      <c r="Q9" s="430">
        <f>IF(P9="","",IF(P9="Leve",0.2,IF(P9="Menor",0.4,IF(P9="Moderado",0.6,IF(P9="Mayor",0.8,IF(P9="Catastrófico",1,))))))</f>
        <v>0.6</v>
      </c>
      <c r="R9" s="484" t="str">
        <f>IF(OR(AND(L9="Muy Baja",P9="Leve"),AND(L9="Muy Baja",P9="Menor"),AND(L9="Baja",P9="Leve")),"Bajo",IF(OR(AND(L9="Muy baja",P9="Moderado"),AND(L9="Baja",P9="Menor"),AND(L9="Baja",P9="Moderado"),AND(L9="Media",P9="Leve"),AND(L9="Media",P9="Menor"),AND(L9="Media",P9="Moderado"),AND(L9="Alta",P9="Leve"),AND(L9="Alta",P9="Menor")),"Moderado",IF(OR(AND(L9="Muy Baja",P9="Mayor"),AND(L9="Baja",P9="Mayor"),AND(L9="Media",P9="Mayor"),AND(L9="Alta",P9="Moderado"),AND(L9="Alta",P9="Mayor"),AND(L9="Muy Alta",P9="Leve"),AND(L9="Muy Alta",P9="Menor"),AND(L9="Muy Alta",P9="Moderado"),AND(L9="Muy Alta",P9="Mayor")),"Alto",IF(OR(AND(L9="Muy Baja",P9="Catastrófico"),AND(L9="Baja",P9="Catastrófico"),AND(L9="Media",P9="Catastrófico"),AND(L9="Alta",P9="Catastrófico"),AND(L9="Muy Alta",P9="Catastrófico")),"Extremo",""))))</f>
        <v>Moderado</v>
      </c>
      <c r="S9" s="154">
        <v>1</v>
      </c>
      <c r="T9" s="155" t="s">
        <v>294</v>
      </c>
      <c r="U9" s="260" t="s">
        <v>154</v>
      </c>
      <c r="V9" s="261" t="s">
        <v>155</v>
      </c>
      <c r="W9" s="261" t="s">
        <v>295</v>
      </c>
      <c r="X9" s="262" t="str">
        <f t="shared" ref="X9:X29" si="0">IF(AND(V9="Preventivo",W9="Automático"),"50%",IF(AND(V9="Preventivo",W9="Manual"),"40%",IF(AND(V9="Detectivo",W9="Automático"),"40%",IF(AND(V9="Detectivo",W9="Manual"),"30%",IF(AND(V9="Correctivo",W9="Automático"),"35%",IF(AND(V9="Correctivo",W9="Manual"),"25%",""))))))</f>
        <v>50%</v>
      </c>
      <c r="Y9" s="261" t="s">
        <v>157</v>
      </c>
      <c r="Z9" s="261" t="s">
        <v>158</v>
      </c>
      <c r="AA9" s="261" t="s">
        <v>159</v>
      </c>
      <c r="AB9" s="263">
        <f>IFERROR(IF(U9="Probabilidad",(M9-(+M9*X9)),IF(U9="Impacto",M9,"")),"")</f>
        <v>0.3</v>
      </c>
      <c r="AC9" s="269" t="str">
        <f t="shared" ref="AC9:AC29" si="1">IFERROR(IF(AB9="","",IF(AB9&lt;=0.2,"Muy Baja",IF(AB9&lt;=0.4,"Baja",IF(AB9&lt;=0.6,"Media",IF(AB9&lt;=0.8,"Alta","Muy Alta"))))),"")</f>
        <v>Baja</v>
      </c>
      <c r="AD9" s="124">
        <f>+AB9</f>
        <v>0.3</v>
      </c>
      <c r="AE9" s="269" t="str">
        <f t="shared" ref="AE9:AE29" si="2">IFERROR(IF(AF9="","",IF(AF9&lt;=0.2,"Leve",IF(AF9&lt;=0.4,"Menor",IF(AF9&lt;=0.6,"Moderado",IF(AF9&lt;=0.8,"Mayor","Catastrófico"))))),"")</f>
        <v>Moderado</v>
      </c>
      <c r="AF9" s="264">
        <f>IFERROR(IF(U9="Impacto",(Q9-(+Q9*X9)),IF(U9="Probabilidad",Q9,"")),"")</f>
        <v>0.6</v>
      </c>
      <c r="AG9" s="265" t="str">
        <f t="shared" ref="AG9:AG29" si="3">IFERROR(IF(OR(AND(AC9="Muy Baja",AE9="Leve"),AND(AC9="Muy Baja",AE9="Menor"),AND(AC9="Baja",AE9="Leve")),"Bajo",IF(OR(AND(AC9="Muy baja",AE9="Moderado"),AND(AC9="Baja",AE9="Menor"),AND(AC9="Baja",AE9="Moderado"),AND(AC9="Media",AE9="Leve"),AND(AC9="Media",AE9="Menor"),AND(AC9="Media",AE9="Moderado"),AND(AC9="Alta",AE9="Leve"),AND(AC9="Alta",AE9="Menor")),"Moderado",IF(OR(AND(AC9="Muy Baja",AE9="Mayor"),AND(AC9="Baja",AE9="Mayor"),AND(AC9="Media",AE9="Mayor"),AND(AC9="Alta",AE9="Moderado"),AND(AC9="Alta",AE9="Mayor"),AND(AC9="Muy Alta",AE9="Leve"),AND(AC9="Muy Alta",AE9="Menor"),AND(AC9="Muy Alta",AE9="Moderado"),AND(AC9="Muy Alta",AE9="Mayor")),"Alto",IF(OR(AND(AC9="Muy Baja",AE9="Catastrófico"),AND(AC9="Baja",AE9="Catastrófico"),AND(AC9="Media",AE9="Catastrófico"),AND(AC9="Alta",AE9="Catastrófico"),AND(AC9="Muy Alta",AE9="Catastrófico")),"Extremo","")))),"")</f>
        <v>Moderado</v>
      </c>
      <c r="AH9" s="266" t="s">
        <v>296</v>
      </c>
      <c r="AI9" s="466" t="s">
        <v>587</v>
      </c>
      <c r="AJ9" s="275" t="s">
        <v>30</v>
      </c>
      <c r="AK9" s="156" t="s">
        <v>589</v>
      </c>
      <c r="AL9" s="189" t="s">
        <v>220</v>
      </c>
      <c r="AM9" s="278"/>
      <c r="AN9" s="277" t="s">
        <v>165</v>
      </c>
      <c r="AO9" s="468"/>
      <c r="AP9" s="468"/>
      <c r="AQ9" s="468"/>
      <c r="AR9" s="277" t="s">
        <v>208</v>
      </c>
      <c r="AS9" s="277"/>
      <c r="AT9" s="277" t="s">
        <v>208</v>
      </c>
      <c r="AU9" s="277" t="s">
        <v>208</v>
      </c>
      <c r="AV9" s="277" t="s">
        <v>208</v>
      </c>
      <c r="AW9" s="26"/>
      <c r="AX9" s="26"/>
      <c r="AY9" s="26"/>
      <c r="AZ9" s="26"/>
      <c r="BA9" s="26"/>
      <c r="BB9" s="26"/>
      <c r="BC9" s="26"/>
      <c r="BD9" s="26"/>
      <c r="BE9" s="26"/>
      <c r="BF9" s="26"/>
      <c r="BG9" s="26"/>
      <c r="BH9" s="26"/>
      <c r="BI9" s="26"/>
      <c r="BJ9" s="26"/>
      <c r="BK9" s="26"/>
      <c r="BL9" s="26"/>
      <c r="BM9" s="26"/>
      <c r="BN9" s="26"/>
      <c r="BO9" s="26"/>
      <c r="BP9" s="26"/>
      <c r="BQ9" s="26"/>
      <c r="BR9" s="26"/>
      <c r="BS9" s="26"/>
      <c r="BT9" s="26"/>
    </row>
    <row r="10" spans="1:72" s="3" customFormat="1" ht="123.95" customHeight="1" x14ac:dyDescent="0.25">
      <c r="A10" s="628"/>
      <c r="B10" s="496"/>
      <c r="C10" s="496"/>
      <c r="D10" s="493"/>
      <c r="E10" s="525"/>
      <c r="F10" s="427"/>
      <c r="G10" s="427"/>
      <c r="H10" s="427"/>
      <c r="I10" s="427"/>
      <c r="J10" s="427"/>
      <c r="K10" s="427"/>
      <c r="L10" s="429"/>
      <c r="M10" s="431"/>
      <c r="N10" s="473"/>
      <c r="O10" s="431"/>
      <c r="P10" s="429"/>
      <c r="Q10" s="431"/>
      <c r="R10" s="486"/>
      <c r="S10" s="154">
        <v>2</v>
      </c>
      <c r="T10" s="155" t="s">
        <v>297</v>
      </c>
      <c r="U10" s="260" t="s">
        <v>154</v>
      </c>
      <c r="V10" s="261" t="s">
        <v>155</v>
      </c>
      <c r="W10" s="261" t="s">
        <v>295</v>
      </c>
      <c r="X10" s="262" t="str">
        <f t="shared" si="0"/>
        <v>50%</v>
      </c>
      <c r="Y10" s="261" t="s">
        <v>157</v>
      </c>
      <c r="Z10" s="261" t="s">
        <v>158</v>
      </c>
      <c r="AA10" s="261" t="s">
        <v>159</v>
      </c>
      <c r="AB10" s="263">
        <f>IFERROR(IF(U10="Probabilidad",(AB9-(+AB9*X10)),IF(U10="Impacto",M9,"")),"")</f>
        <v>0.15</v>
      </c>
      <c r="AC10" s="269" t="str">
        <f t="shared" si="1"/>
        <v>Muy Baja</v>
      </c>
      <c r="AD10" s="124">
        <f t="shared" ref="AD10:AD18" si="4">+AB10</f>
        <v>0.15</v>
      </c>
      <c r="AE10" s="269" t="str">
        <f t="shared" si="2"/>
        <v>Moderado</v>
      </c>
      <c r="AF10" s="264">
        <f t="shared" ref="AF10" si="5">IFERROR(IF(U10="Impacto",(Q9-(+Q9*X10)),IF(U10="Probabilidad",Q9,"")),"")</f>
        <v>0.6</v>
      </c>
      <c r="AG10" s="265" t="str">
        <f t="shared" si="3"/>
        <v>Moderado</v>
      </c>
      <c r="AH10" s="266" t="s">
        <v>160</v>
      </c>
      <c r="AI10" s="427"/>
      <c r="AJ10" s="275" t="s">
        <v>30</v>
      </c>
      <c r="AK10" s="156" t="s">
        <v>589</v>
      </c>
      <c r="AL10" s="189" t="s">
        <v>220</v>
      </c>
      <c r="AM10" s="260"/>
      <c r="AN10" s="277" t="s">
        <v>165</v>
      </c>
      <c r="AO10" s="425"/>
      <c r="AP10" s="425"/>
      <c r="AQ10" s="425"/>
      <c r="AR10" s="277" t="s">
        <v>208</v>
      </c>
      <c r="AS10" s="277"/>
      <c r="AT10" s="277" t="s">
        <v>208</v>
      </c>
      <c r="AU10" s="277" t="s">
        <v>208</v>
      </c>
      <c r="AV10" s="277" t="s">
        <v>208</v>
      </c>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row>
    <row r="11" spans="1:72" s="3" customFormat="1" ht="76.5" customHeight="1" x14ac:dyDescent="0.25">
      <c r="A11" s="628"/>
      <c r="B11" s="496"/>
      <c r="C11" s="496"/>
      <c r="D11" s="493"/>
      <c r="E11" s="524">
        <v>2</v>
      </c>
      <c r="F11" s="426" t="s">
        <v>172</v>
      </c>
      <c r="G11" s="426" t="s">
        <v>291</v>
      </c>
      <c r="H11" s="426" t="s">
        <v>298</v>
      </c>
      <c r="I11" s="523" t="s">
        <v>591</v>
      </c>
      <c r="J11" s="426" t="s">
        <v>151</v>
      </c>
      <c r="K11" s="468">
        <v>12</v>
      </c>
      <c r="L11" s="428" t="str">
        <f>IF(K11&lt;=0,"",IF(K11&lt;=2,"Muy Baja",IF(K11&lt;=24,"Baja",IF(K11&lt;=500,"Media",IF(K11&lt;=5000,"Alta","Muy Alta")))))</f>
        <v>Baja</v>
      </c>
      <c r="M11" s="430">
        <f>IF(L11="","",IF(L11="Muy Baja",0.2,IF(L11="Baja",0.4,IF(L11="Media",0.6,IF(L11="Alta",0.8,IF(L11="Muy Alta",1,))))))</f>
        <v>0.4</v>
      </c>
      <c r="N11" s="473" t="s">
        <v>152</v>
      </c>
      <c r="O11" s="430" t="str">
        <f>IF(NOT(ISERROR(MATCH(N11,'[5]Tabla Impacto'!$B$221:$B$223,0))),'[5]Tabla Impacto'!$F$223&amp;"Por favor no seleccionar los criterios de impacto(Afectación Económica o presupuestal y Pérdida Reputacional)",N11)</f>
        <v xml:space="preserve">     El riesgo afecta la imagen de la entidad con algunos usuarios de relevancia frente al logro de los objetivos</v>
      </c>
      <c r="P11" s="428" t="str">
        <f>IF(OR(O11='[5]Tabla Impacto'!$C$11,O11='[5]Tabla Impacto'!$D$11),"Leve",IF(OR(O11='[5]Tabla Impacto'!$C$12,O11='[5]Tabla Impacto'!$D$12),"Menor",IF(OR(O11='[5]Tabla Impacto'!$C$13,O11='[5]Tabla Impacto'!$D$13),"Moderado",IF(OR(O11='[5]Tabla Impacto'!$C$14,O11='[5]Tabla Impacto'!$D$14),"Mayor",IF(OR(O11='[5]Tabla Impacto'!$C$15,O11='[5]Tabla Impacto'!$D$15),"Catastrófico","")))))</f>
        <v>Moderado</v>
      </c>
      <c r="Q11" s="430">
        <f>IF(P11="","",IF(P11="Leve",0.2,IF(P11="Menor",0.4,IF(P11="Moderado",0.6,IF(P11="Mayor",0.8,IF(P11="Catastrófico",1,))))))</f>
        <v>0.6</v>
      </c>
      <c r="R11" s="484" t="str">
        <f>IF(OR(AND(L11="Muy Baja",P11="Leve"),AND(L11="Muy Baja",P11="Menor"),AND(L11="Baja",P11="Leve")),"Bajo",IF(OR(AND(L11="Muy baja",P11="Moderado"),AND(L11="Baja",P11="Menor"),AND(L11="Baja",P11="Moderado"),AND(L11="Media",P11="Leve"),AND(L11="Media",P11="Menor"),AND(L11="Media",P11="Moderado"),AND(L11="Alta",P11="Leve"),AND(L11="Alta",P11="Menor")),"Moderado",IF(OR(AND(L11="Muy Baja",P11="Mayor"),AND(L11="Baja",P11="Mayor"),AND(L11="Media",P11="Mayor"),AND(L11="Alta",P11="Moderado"),AND(L11="Alta",P11="Mayor"),AND(L11="Muy Alta",P11="Leve"),AND(L11="Muy Alta",P11="Menor"),AND(L11="Muy Alta",P11="Moderado"),AND(L11="Muy Alta",P11="Mayor")),"Alto",IF(OR(AND(L11="Muy Baja",P11="Catastrófico"),AND(L11="Baja",P11="Catastrófico"),AND(L11="Media",P11="Catastrófico"),AND(L11="Alta",P11="Catastrófico"),AND(L11="Muy Alta",P11="Catastrófico")),"Extremo",""))))</f>
        <v>Moderado</v>
      </c>
      <c r="S11" s="154">
        <v>1</v>
      </c>
      <c r="T11" s="155" t="s">
        <v>299</v>
      </c>
      <c r="U11" s="260" t="str">
        <f t="shared" ref="U11:U12" si="6">IF(OR(V11="Preventivo",V11="Detectivo"),"Probabilidad",IF(V11="Correctivo","Impacto",""))</f>
        <v>Probabilidad</v>
      </c>
      <c r="V11" s="261" t="s">
        <v>169</v>
      </c>
      <c r="W11" s="261" t="s">
        <v>295</v>
      </c>
      <c r="X11" s="262" t="str">
        <f t="shared" si="0"/>
        <v>40%</v>
      </c>
      <c r="Y11" s="261" t="s">
        <v>157</v>
      </c>
      <c r="Z11" s="261" t="s">
        <v>158</v>
      </c>
      <c r="AA11" s="261" t="s">
        <v>159</v>
      </c>
      <c r="AB11" s="263">
        <f>IFERROR(IF(U11="Probabilidad",(M11-(+M11*X11)),IF(U11="Impacto",M11,"")),"")</f>
        <v>0.24</v>
      </c>
      <c r="AC11" s="269" t="str">
        <f t="shared" si="1"/>
        <v>Baja</v>
      </c>
      <c r="AD11" s="124">
        <f t="shared" si="4"/>
        <v>0.24</v>
      </c>
      <c r="AE11" s="269" t="str">
        <f t="shared" si="2"/>
        <v>Moderado</v>
      </c>
      <c r="AF11" s="264">
        <f>IFERROR(IF(U11="Impacto",(Q11-(+Q11*X11)),IF(U11="Probabilidad",Q11,"")),"")</f>
        <v>0.6</v>
      </c>
      <c r="AG11" s="265" t="str">
        <f t="shared" si="3"/>
        <v>Moderado</v>
      </c>
      <c r="AH11" s="266" t="s">
        <v>296</v>
      </c>
      <c r="AI11" s="466" t="s">
        <v>586</v>
      </c>
      <c r="AJ11" s="275" t="s">
        <v>30</v>
      </c>
      <c r="AK11" s="156" t="s">
        <v>589</v>
      </c>
      <c r="AL11" s="189" t="s">
        <v>220</v>
      </c>
      <c r="AM11" s="278"/>
      <c r="AN11" s="277" t="s">
        <v>165</v>
      </c>
      <c r="AO11" s="468"/>
      <c r="AP11" s="468"/>
      <c r="AQ11" s="468"/>
      <c r="AR11" s="277" t="s">
        <v>208</v>
      </c>
      <c r="AS11" s="277"/>
      <c r="AT11" s="277" t="s">
        <v>208</v>
      </c>
      <c r="AU11" s="277" t="s">
        <v>208</v>
      </c>
      <c r="AV11" s="277" t="s">
        <v>208</v>
      </c>
      <c r="AW11" s="26"/>
      <c r="AX11" s="26"/>
      <c r="AY11" s="26"/>
      <c r="AZ11" s="26"/>
      <c r="BA11" s="26"/>
      <c r="BB11" s="26"/>
      <c r="BC11" s="26"/>
      <c r="BD11" s="26"/>
      <c r="BE11" s="26"/>
      <c r="BF11" s="26"/>
      <c r="BG11" s="26"/>
      <c r="BH11" s="26"/>
      <c r="BI11" s="26"/>
      <c r="BJ11" s="26"/>
      <c r="BK11" s="26"/>
      <c r="BL11" s="26"/>
      <c r="BM11" s="26"/>
      <c r="BN11" s="26"/>
      <c r="BO11" s="26"/>
      <c r="BP11" s="26"/>
      <c r="BQ11" s="26"/>
      <c r="BR11" s="26"/>
      <c r="BS11" s="26"/>
      <c r="BT11" s="26"/>
    </row>
    <row r="12" spans="1:72" s="3" customFormat="1" ht="122.25" customHeight="1" x14ac:dyDescent="0.25">
      <c r="A12" s="628"/>
      <c r="B12" s="496"/>
      <c r="C12" s="496"/>
      <c r="D12" s="493"/>
      <c r="E12" s="525"/>
      <c r="F12" s="427"/>
      <c r="G12" s="427"/>
      <c r="H12" s="427"/>
      <c r="I12" s="427"/>
      <c r="J12" s="427"/>
      <c r="K12" s="424"/>
      <c r="L12" s="429"/>
      <c r="M12" s="431"/>
      <c r="N12" s="473"/>
      <c r="O12" s="431"/>
      <c r="P12" s="429"/>
      <c r="Q12" s="431"/>
      <c r="R12" s="486"/>
      <c r="S12" s="154">
        <v>2</v>
      </c>
      <c r="T12" s="155" t="s">
        <v>300</v>
      </c>
      <c r="U12" s="260" t="str">
        <f t="shared" si="6"/>
        <v>Probabilidad</v>
      </c>
      <c r="V12" s="261" t="s">
        <v>155</v>
      </c>
      <c r="W12" s="261" t="s">
        <v>156</v>
      </c>
      <c r="X12" s="262" t="str">
        <f t="shared" si="0"/>
        <v>40%</v>
      </c>
      <c r="Y12" s="261" t="s">
        <v>157</v>
      </c>
      <c r="Z12" s="261" t="s">
        <v>158</v>
      </c>
      <c r="AA12" s="261" t="s">
        <v>159</v>
      </c>
      <c r="AB12" s="263">
        <f t="shared" ref="AB12" si="7">IFERROR(IF(U12="Probabilidad",(AB11-(+AB11*X12)),IF(U12="Impacto",M11,"")),"")</f>
        <v>0.14399999999999999</v>
      </c>
      <c r="AC12" s="269" t="str">
        <f t="shared" si="1"/>
        <v>Muy Baja</v>
      </c>
      <c r="AD12" s="124">
        <f t="shared" si="4"/>
        <v>0.14399999999999999</v>
      </c>
      <c r="AE12" s="269" t="str">
        <f t="shared" si="2"/>
        <v>Moderado</v>
      </c>
      <c r="AF12" s="264">
        <f t="shared" ref="AF12" si="8">IFERROR(IF(U12="Impacto",(Q11-(+Q11*X12)),IF(U12="Probabilidad",Q11,"")),"")</f>
        <v>0.6</v>
      </c>
      <c r="AG12" s="265" t="str">
        <f t="shared" si="3"/>
        <v>Moderado</v>
      </c>
      <c r="AH12" s="266" t="s">
        <v>296</v>
      </c>
      <c r="AI12" s="427"/>
      <c r="AJ12" s="275" t="s">
        <v>30</v>
      </c>
      <c r="AK12" s="156" t="s">
        <v>589</v>
      </c>
      <c r="AL12" s="189" t="s">
        <v>220</v>
      </c>
      <c r="AM12" s="260"/>
      <c r="AN12" s="277" t="s">
        <v>165</v>
      </c>
      <c r="AO12" s="425"/>
      <c r="AP12" s="425"/>
      <c r="AQ12" s="425"/>
      <c r="AR12" s="277" t="s">
        <v>208</v>
      </c>
      <c r="AS12" s="277"/>
      <c r="AT12" s="277" t="s">
        <v>208</v>
      </c>
      <c r="AU12" s="277" t="s">
        <v>208</v>
      </c>
      <c r="AV12" s="277" t="s">
        <v>208</v>
      </c>
      <c r="AW12" s="26"/>
      <c r="AX12" s="26"/>
      <c r="AY12" s="26"/>
      <c r="AZ12" s="26"/>
      <c r="BA12" s="26"/>
      <c r="BB12" s="26"/>
      <c r="BC12" s="26"/>
      <c r="BD12" s="26"/>
      <c r="BE12" s="26"/>
      <c r="BF12" s="26"/>
      <c r="BG12" s="26"/>
      <c r="BH12" s="26"/>
      <c r="BI12" s="26"/>
      <c r="BJ12" s="26"/>
      <c r="BK12" s="26"/>
      <c r="BL12" s="26"/>
      <c r="BM12" s="26"/>
      <c r="BN12" s="26"/>
      <c r="BO12" s="26"/>
      <c r="BP12" s="26"/>
      <c r="BQ12" s="26"/>
      <c r="BR12" s="26"/>
      <c r="BS12" s="26"/>
      <c r="BT12" s="26"/>
    </row>
    <row r="13" spans="1:72" s="3" customFormat="1" ht="114" customHeight="1" x14ac:dyDescent="0.25">
      <c r="A13" s="628"/>
      <c r="B13" s="496"/>
      <c r="C13" s="496"/>
      <c r="D13" s="493"/>
      <c r="E13" s="633">
        <v>3</v>
      </c>
      <c r="F13" s="466" t="s">
        <v>172</v>
      </c>
      <c r="G13" s="466" t="s">
        <v>552</v>
      </c>
      <c r="H13" s="466" t="s">
        <v>553</v>
      </c>
      <c r="I13" s="466" t="s">
        <v>551</v>
      </c>
      <c r="J13" s="466" t="s">
        <v>568</v>
      </c>
      <c r="K13" s="556">
        <v>350</v>
      </c>
      <c r="L13" s="428" t="str">
        <f>IF(K13&lt;=0,"",IF(K13&lt;=2,"Muy Baja",IF(K13&lt;=24,"Baja",IF(K13&lt;=500,"Media",IF(K13&lt;=5000,"Alta","Muy Alta")))))</f>
        <v>Media</v>
      </c>
      <c r="M13" s="430">
        <f>IF(L13="","",IF(L13="Muy Baja",0.2,IF(L13="Baja",0.4,IF(L13="Media",0.6,IF(L13="Alta",0.8,IF(L13="Muy Alta",1,))))))</f>
        <v>0.6</v>
      </c>
      <c r="N13" s="473" t="s">
        <v>416</v>
      </c>
      <c r="O13" s="430" t="str">
        <f>IF(NOT(ISERROR(MATCH(N13,'[5]Tabla Impacto'!$B$221:$B$223,0))),'[5]Tabla Impacto'!$F$223&amp;"Por favor no seleccionar los criterios de impacto(Afectación Económica o presupuestal y Pérdida Reputacional)",N13)</f>
        <v xml:space="preserve">     Entre 10 y 50 SMLMV </v>
      </c>
      <c r="P13" s="428" t="s">
        <v>305</v>
      </c>
      <c r="Q13" s="430">
        <f>IF(P13="","",IF(P13="Leve",0.2,IF(P13="Menor",0.4,IF(P13="Moderado",0.6,IF(P13="Mayor",0.8,IF(P13="Catastrófico",1,))))))</f>
        <v>0.6</v>
      </c>
      <c r="R13" s="484" t="str">
        <f>IF(OR(AND(L13="Muy Baja",P13="Leve"),AND(L13="Muy Baja",P13="Menor"),AND(L13="Baja",P13="Leve")),"Bajo",IF(OR(AND(L13="Muy baja",P13="Moderado"),AND(L13="Baja",P13="Menor"),AND(L13="Baja",P13="Moderado"),AND(L13="Media",P13="Leve"),AND(L13="Media",P13="Menor"),AND(L13="Media",P13="Moderado"),AND(L13="Alta",P13="Leve"),AND(L13="Alta",P13="Menor")),"Moderado",IF(OR(AND(L13="Muy Baja",P13="Mayor"),AND(L13="Baja",P13="Mayor"),AND(L13="Media",P13="Mayor"),AND(L13="Alta",P13="Moderado"),AND(L13="Alta",P13="Mayor"),AND(L13="Muy Alta",P13="Leve"),AND(L13="Muy Alta",P13="Menor"),AND(L13="Muy Alta",P13="Moderado"),AND(L13="Muy Alta",P13="Mayor")),"Alto",IF(OR(AND(L13="Muy Baja",P13="Catastrófico"),AND(L13="Baja",P13="Catastrófico"),AND(L13="Media",P13="Catastrófico"),AND(L13="Alta",P13="Catastrófico"),AND(L13="Muy Alta",P13="Catastrófico")),"Extremo",""))))</f>
        <v>Moderado</v>
      </c>
      <c r="S13" s="154">
        <v>1</v>
      </c>
      <c r="T13" s="155" t="s">
        <v>588</v>
      </c>
      <c r="U13" s="260" t="s">
        <v>154</v>
      </c>
      <c r="V13" s="261" t="s">
        <v>155</v>
      </c>
      <c r="W13" s="261" t="s">
        <v>156</v>
      </c>
      <c r="X13" s="262" t="str">
        <f t="shared" si="0"/>
        <v>40%</v>
      </c>
      <c r="Y13" s="261" t="s">
        <v>157</v>
      </c>
      <c r="Z13" s="261" t="s">
        <v>158</v>
      </c>
      <c r="AA13" s="261" t="s">
        <v>159</v>
      </c>
      <c r="AB13" s="263">
        <f>IFERROR(IF(U13="Probabilidad",(M13-(+M13*X13)),IF(U13="Impacto",M13,"")),"")</f>
        <v>0.36</v>
      </c>
      <c r="AC13" s="269" t="str">
        <f t="shared" si="1"/>
        <v>Baja</v>
      </c>
      <c r="AD13" s="124">
        <f t="shared" si="4"/>
        <v>0.36</v>
      </c>
      <c r="AE13" s="269" t="str">
        <f t="shared" si="2"/>
        <v>Moderado</v>
      </c>
      <c r="AF13" s="264">
        <f>IFERROR(IF(U13="Impacto",(Q13-(+Q13*X13)),IF(U13="Probabilidad",Q13,"")),"")</f>
        <v>0.6</v>
      </c>
      <c r="AG13" s="265" t="str">
        <f t="shared" si="3"/>
        <v>Moderado</v>
      </c>
      <c r="AH13" s="266" t="s">
        <v>296</v>
      </c>
      <c r="AI13" s="466" t="s">
        <v>585</v>
      </c>
      <c r="AJ13" s="275" t="s">
        <v>30</v>
      </c>
      <c r="AK13" s="156" t="s">
        <v>589</v>
      </c>
      <c r="AL13" s="189" t="s">
        <v>306</v>
      </c>
      <c r="AM13" s="278"/>
      <c r="AN13" s="277" t="s">
        <v>165</v>
      </c>
      <c r="AO13" s="468"/>
      <c r="AP13" s="468"/>
      <c r="AQ13" s="468"/>
      <c r="AR13" s="277" t="s">
        <v>208</v>
      </c>
      <c r="AS13" s="277"/>
      <c r="AT13" s="277" t="s">
        <v>208</v>
      </c>
      <c r="AU13" s="277"/>
      <c r="AV13" s="277" t="s">
        <v>208</v>
      </c>
      <c r="AW13" s="26"/>
      <c r="AX13" s="341"/>
      <c r="AY13" s="341"/>
      <c r="AZ13" s="341"/>
      <c r="BA13" s="341"/>
      <c r="BB13" s="341"/>
      <c r="BC13" s="341"/>
      <c r="BD13" s="341"/>
      <c r="BE13" s="341"/>
      <c r="BF13" s="341"/>
      <c r="BG13" s="341"/>
      <c r="BH13" s="341"/>
      <c r="BI13" s="341"/>
      <c r="BJ13" s="26"/>
      <c r="BK13" s="26"/>
      <c r="BL13" s="26"/>
      <c r="BM13" s="26"/>
      <c r="BN13" s="26"/>
      <c r="BO13" s="26"/>
      <c r="BP13" s="26"/>
      <c r="BQ13" s="26"/>
      <c r="BR13" s="26"/>
      <c r="BS13" s="26"/>
      <c r="BT13" s="26"/>
    </row>
    <row r="14" spans="1:72" s="3" customFormat="1" ht="114" customHeight="1" x14ac:dyDescent="0.25">
      <c r="A14" s="628"/>
      <c r="B14" s="496"/>
      <c r="C14" s="496"/>
      <c r="D14" s="493"/>
      <c r="E14" s="634"/>
      <c r="F14" s="426"/>
      <c r="G14" s="426"/>
      <c r="H14" s="426"/>
      <c r="I14" s="426"/>
      <c r="J14" s="426"/>
      <c r="K14" s="557"/>
      <c r="L14" s="483"/>
      <c r="M14" s="481"/>
      <c r="N14" s="473"/>
      <c r="O14" s="481"/>
      <c r="P14" s="483"/>
      <c r="Q14" s="481"/>
      <c r="R14" s="498"/>
      <c r="S14" s="154">
        <v>2</v>
      </c>
      <c r="T14" s="155" t="s">
        <v>307</v>
      </c>
      <c r="U14" s="260" t="s">
        <v>154</v>
      </c>
      <c r="V14" s="261" t="s">
        <v>155</v>
      </c>
      <c r="W14" s="261" t="s">
        <v>156</v>
      </c>
      <c r="X14" s="262" t="str">
        <f t="shared" si="0"/>
        <v>40%</v>
      </c>
      <c r="Y14" s="261" t="s">
        <v>157</v>
      </c>
      <c r="Z14" s="261" t="s">
        <v>158</v>
      </c>
      <c r="AA14" s="261" t="s">
        <v>159</v>
      </c>
      <c r="AB14" s="263">
        <f>IFERROR(IF(U14="Probabilidad",(AB13-(+AB13*X14)),IF(U14="Impacto",M13,"")),"")</f>
        <v>0.216</v>
      </c>
      <c r="AC14" s="269" t="str">
        <f t="shared" si="1"/>
        <v>Baja</v>
      </c>
      <c r="AD14" s="124">
        <f t="shared" si="4"/>
        <v>0.216</v>
      </c>
      <c r="AE14" s="269" t="str">
        <f t="shared" si="2"/>
        <v>Moderado</v>
      </c>
      <c r="AF14" s="264">
        <f t="shared" ref="AF14" si="9">IFERROR(IF(U14="Impacto",(Q13-(+Q13*X14)),IF(U14="Probabilidad",Q13,"")),"")</f>
        <v>0.6</v>
      </c>
      <c r="AG14" s="265" t="str">
        <f t="shared" si="3"/>
        <v>Moderado</v>
      </c>
      <c r="AH14" s="266" t="s">
        <v>160</v>
      </c>
      <c r="AI14" s="426"/>
      <c r="AJ14" s="275" t="s">
        <v>30</v>
      </c>
      <c r="AK14" s="156" t="s">
        <v>589</v>
      </c>
      <c r="AL14" s="189" t="s">
        <v>220</v>
      </c>
      <c r="AM14" s="278"/>
      <c r="AN14" s="277" t="s">
        <v>165</v>
      </c>
      <c r="AO14" s="424"/>
      <c r="AP14" s="424"/>
      <c r="AQ14" s="424"/>
      <c r="AR14" s="277" t="s">
        <v>208</v>
      </c>
      <c r="AS14" s="277"/>
      <c r="AT14" s="277" t="s">
        <v>208</v>
      </c>
      <c r="AU14" s="277"/>
      <c r="AV14" s="277" t="s">
        <v>208</v>
      </c>
      <c r="AW14" s="26"/>
      <c r="AX14" s="341"/>
      <c r="AY14" s="341"/>
      <c r="AZ14" s="341"/>
      <c r="BA14" s="341"/>
      <c r="BB14" s="341"/>
      <c r="BC14" s="341"/>
      <c r="BD14" s="341"/>
      <c r="BE14" s="341"/>
      <c r="BF14" s="341"/>
      <c r="BG14" s="341"/>
      <c r="BH14" s="341"/>
      <c r="BI14" s="341"/>
      <c r="BJ14" s="26"/>
      <c r="BK14" s="26"/>
      <c r="BL14" s="26"/>
      <c r="BM14" s="26"/>
      <c r="BN14" s="26"/>
      <c r="BO14" s="26"/>
      <c r="BP14" s="26"/>
      <c r="BQ14" s="26"/>
      <c r="BR14" s="26"/>
      <c r="BS14" s="26"/>
      <c r="BT14" s="26"/>
    </row>
    <row r="15" spans="1:72" s="3" customFormat="1" ht="114" customHeight="1" x14ac:dyDescent="0.25">
      <c r="A15" s="628"/>
      <c r="B15" s="496"/>
      <c r="C15" s="496"/>
      <c r="D15" s="493"/>
      <c r="E15" s="635"/>
      <c r="F15" s="427"/>
      <c r="G15" s="427"/>
      <c r="H15" s="427"/>
      <c r="I15" s="427"/>
      <c r="J15" s="427"/>
      <c r="K15" s="558"/>
      <c r="L15" s="429"/>
      <c r="M15" s="431"/>
      <c r="N15" s="482"/>
      <c r="O15" s="431"/>
      <c r="P15" s="429"/>
      <c r="Q15" s="431"/>
      <c r="R15" s="486"/>
      <c r="S15" s="157">
        <v>3</v>
      </c>
      <c r="T15" s="155" t="s">
        <v>308</v>
      </c>
      <c r="U15" s="260" t="s">
        <v>154</v>
      </c>
      <c r="V15" s="261" t="s">
        <v>169</v>
      </c>
      <c r="W15" s="261" t="s">
        <v>156</v>
      </c>
      <c r="X15" s="262" t="str">
        <f t="shared" si="0"/>
        <v>30%</v>
      </c>
      <c r="Y15" s="261" t="s">
        <v>157</v>
      </c>
      <c r="Z15" s="261" t="s">
        <v>158</v>
      </c>
      <c r="AA15" s="261" t="s">
        <v>159</v>
      </c>
      <c r="AB15" s="263">
        <f>IFERROR(IF(U15="Probabilidad",(AB14-(+AB14*X15)),IF(U15="Impacto",M14,"")),"")</f>
        <v>0.1512</v>
      </c>
      <c r="AC15" s="269" t="str">
        <f t="shared" si="1"/>
        <v>Muy Baja</v>
      </c>
      <c r="AD15" s="124">
        <f t="shared" si="4"/>
        <v>0.1512</v>
      </c>
      <c r="AE15" s="269" t="str">
        <f t="shared" si="2"/>
        <v>Moderado</v>
      </c>
      <c r="AF15" s="264">
        <f>IFERROR(IF(U15="Impacto",(Q13-(+Q13*X15)),IF(U15="Probabilidad",Q13,"")),"")</f>
        <v>0.6</v>
      </c>
      <c r="AG15" s="265" t="str">
        <f t="shared" si="3"/>
        <v>Moderado</v>
      </c>
      <c r="AH15" s="266" t="s">
        <v>160</v>
      </c>
      <c r="AI15" s="427"/>
      <c r="AJ15" s="275" t="s">
        <v>30</v>
      </c>
      <c r="AK15" s="156" t="s">
        <v>589</v>
      </c>
      <c r="AL15" s="189" t="s">
        <v>306</v>
      </c>
      <c r="AM15" s="260"/>
      <c r="AN15" s="277" t="s">
        <v>165</v>
      </c>
      <c r="AO15" s="425"/>
      <c r="AP15" s="425"/>
      <c r="AQ15" s="425"/>
      <c r="AR15" s="277" t="s">
        <v>208</v>
      </c>
      <c r="AS15" s="277"/>
      <c r="AT15" s="277" t="s">
        <v>208</v>
      </c>
      <c r="AU15" s="277"/>
      <c r="AV15" s="277" t="s">
        <v>208</v>
      </c>
      <c r="AW15" s="26"/>
      <c r="AX15" s="341"/>
      <c r="AY15" s="341"/>
      <c r="AZ15" s="341"/>
      <c r="BA15" s="341"/>
      <c r="BB15" s="341"/>
      <c r="BC15" s="341"/>
      <c r="BD15" s="341"/>
      <c r="BE15" s="341"/>
      <c r="BF15" s="341"/>
      <c r="BG15" s="341"/>
      <c r="BH15" s="341"/>
      <c r="BI15" s="341"/>
      <c r="BJ15" s="26"/>
      <c r="BK15" s="26"/>
      <c r="BL15" s="26"/>
      <c r="BM15" s="26"/>
      <c r="BN15" s="26"/>
      <c r="BO15" s="26"/>
      <c r="BP15" s="26"/>
      <c r="BQ15" s="26"/>
      <c r="BR15" s="26"/>
      <c r="BS15" s="26"/>
      <c r="BT15" s="26"/>
    </row>
    <row r="16" spans="1:72" s="3" customFormat="1" ht="96" customHeight="1" x14ac:dyDescent="0.25">
      <c r="A16" s="628"/>
      <c r="B16" s="496"/>
      <c r="C16" s="496"/>
      <c r="D16" s="493"/>
      <c r="E16" s="633">
        <v>4</v>
      </c>
      <c r="F16" s="466" t="s">
        <v>223</v>
      </c>
      <c r="G16" s="466" t="s">
        <v>301</v>
      </c>
      <c r="H16" s="466" t="s">
        <v>302</v>
      </c>
      <c r="I16" s="466" t="s">
        <v>303</v>
      </c>
      <c r="J16" s="466" t="s">
        <v>151</v>
      </c>
      <c r="K16" s="556">
        <f>20*12</f>
        <v>240</v>
      </c>
      <c r="L16" s="428" t="str">
        <f>IF(K16&lt;=0,"",IF(K16&lt;=2,"Muy Baja",IF(K16&lt;=24,"Baja",IF(K16&lt;=500,"Media",IF(K16&lt;=5000,"Alta","Muy Alta")))))</f>
        <v>Media</v>
      </c>
      <c r="M16" s="430">
        <f>IF(L16="","",IF(L16="Muy Baja",0.2,IF(L16="Baja",0.4,IF(L16="Media",0.6,IF(L16="Alta",0.8,IF(L16="Muy Alta",1,))))))</f>
        <v>0.6</v>
      </c>
      <c r="N16" s="473" t="s">
        <v>304</v>
      </c>
      <c r="O16" s="430" t="str">
        <f>IF(NOT(ISERROR(MATCH(N16,'[5]Tabla Impacto'!$B$221:$B$223,0))),'[5]Tabla Impacto'!$F$223&amp;"Por favor no seleccionar los criterios de impacto(Afectación Económica o presupuestal y Pérdida Reputacional)",N16)</f>
        <v xml:space="preserve">     El riesgo afecta la imagen de la entidad internamente, de conocimiento general, nivel interno, de junta directiva y accionistas y/o de proveedores</v>
      </c>
      <c r="P16" s="428" t="s">
        <v>305</v>
      </c>
      <c r="Q16" s="430">
        <f>IF(P16="","",IF(P16="Leve",0.2,IF(P16="Menor",0.4,IF(P16="Moderado",0.6,IF(P16="Mayor",0.8,IF(P16="Catastrófico",1,))))))</f>
        <v>0.6</v>
      </c>
      <c r="R16" s="484" t="str">
        <f>IF(OR(AND(L16="Muy Baja",P16="Leve"),AND(L16="Muy Baja",P16="Menor"),AND(L16="Baja",P16="Leve")),"Bajo",IF(OR(AND(L16="Muy baja",P16="Moderado"),AND(L16="Baja",P16="Menor"),AND(L16="Baja",P16="Moderado"),AND(L16="Media",P16="Leve"),AND(L16="Media",P16="Menor"),AND(L16="Media",P16="Moderado"),AND(L16="Alta",P16="Leve"),AND(L16="Alta",P16="Menor")),"Moderado",IF(OR(AND(L16="Muy Baja",P16="Mayor"),AND(L16="Baja",P16="Mayor"),AND(L16="Media",P16="Mayor"),AND(L16="Alta",P16="Moderado"),AND(L16="Alta",P16="Mayor"),AND(L16="Muy Alta",P16="Leve"),AND(L16="Muy Alta",P16="Menor"),AND(L16="Muy Alta",P16="Moderado"),AND(L16="Muy Alta",P16="Mayor")),"Alto",IF(OR(AND(L16="Muy Baja",P16="Catastrófico"),AND(L16="Baja",P16="Catastrófico"),AND(L16="Media",P16="Catastrófico"),AND(L16="Alta",P16="Catastrófico"),AND(L16="Muy Alta",P16="Catastrófico")),"Extremo",""))))</f>
        <v>Moderado</v>
      </c>
      <c r="S16" s="154">
        <v>1</v>
      </c>
      <c r="T16" s="155" t="s">
        <v>588</v>
      </c>
      <c r="U16" s="260" t="s">
        <v>154</v>
      </c>
      <c r="V16" s="261" t="s">
        <v>155</v>
      </c>
      <c r="W16" s="261" t="s">
        <v>156</v>
      </c>
      <c r="X16" s="262" t="str">
        <f t="shared" si="0"/>
        <v>40%</v>
      </c>
      <c r="Y16" s="261" t="s">
        <v>157</v>
      </c>
      <c r="Z16" s="261" t="s">
        <v>158</v>
      </c>
      <c r="AA16" s="261" t="s">
        <v>159</v>
      </c>
      <c r="AB16" s="263">
        <f>IFERROR(IF(U16="Probabilidad",(M16-(+M16*X16)),IF(U16="Impacto",M16,"")),"")</f>
        <v>0.36</v>
      </c>
      <c r="AC16" s="269" t="str">
        <f t="shared" si="1"/>
        <v>Baja</v>
      </c>
      <c r="AD16" s="124">
        <f t="shared" si="4"/>
        <v>0.36</v>
      </c>
      <c r="AE16" s="269" t="str">
        <f t="shared" si="2"/>
        <v>Moderado</v>
      </c>
      <c r="AF16" s="264">
        <f>IFERROR(IF(U16="Impacto",(Q16-(+Q16*X16)),IF(U16="Probabilidad",Q16,"")),"")</f>
        <v>0.6</v>
      </c>
      <c r="AG16" s="265" t="str">
        <f t="shared" si="3"/>
        <v>Moderado</v>
      </c>
      <c r="AH16" s="266" t="s">
        <v>296</v>
      </c>
      <c r="AI16" s="466" t="s">
        <v>585</v>
      </c>
      <c r="AJ16" s="275" t="s">
        <v>30</v>
      </c>
      <c r="AK16" s="156" t="s">
        <v>589</v>
      </c>
      <c r="AL16" s="189" t="s">
        <v>306</v>
      </c>
      <c r="AM16" s="278"/>
      <c r="AN16" s="277" t="s">
        <v>165</v>
      </c>
      <c r="AO16" s="468"/>
      <c r="AP16" s="468"/>
      <c r="AQ16" s="468"/>
      <c r="AR16" s="277" t="s">
        <v>208</v>
      </c>
      <c r="AS16" s="277"/>
      <c r="AT16" s="277" t="s">
        <v>208</v>
      </c>
      <c r="AU16" s="277"/>
      <c r="AV16" s="277" t="s">
        <v>208</v>
      </c>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row>
    <row r="17" spans="1:72" s="3" customFormat="1" ht="102.75" customHeight="1" x14ac:dyDescent="0.25">
      <c r="A17" s="628"/>
      <c r="B17" s="496"/>
      <c r="C17" s="496"/>
      <c r="D17" s="493"/>
      <c r="E17" s="634"/>
      <c r="F17" s="426"/>
      <c r="G17" s="426"/>
      <c r="H17" s="426"/>
      <c r="I17" s="426"/>
      <c r="J17" s="426"/>
      <c r="K17" s="557"/>
      <c r="L17" s="483"/>
      <c r="M17" s="481"/>
      <c r="N17" s="473"/>
      <c r="O17" s="481"/>
      <c r="P17" s="483"/>
      <c r="Q17" s="481"/>
      <c r="R17" s="498"/>
      <c r="S17" s="154">
        <v>2</v>
      </c>
      <c r="T17" s="155" t="s">
        <v>307</v>
      </c>
      <c r="U17" s="260" t="s">
        <v>154</v>
      </c>
      <c r="V17" s="261" t="s">
        <v>155</v>
      </c>
      <c r="W17" s="261" t="s">
        <v>156</v>
      </c>
      <c r="X17" s="262" t="str">
        <f t="shared" si="0"/>
        <v>40%</v>
      </c>
      <c r="Y17" s="261" t="s">
        <v>157</v>
      </c>
      <c r="Z17" s="261" t="s">
        <v>158</v>
      </c>
      <c r="AA17" s="261" t="s">
        <v>159</v>
      </c>
      <c r="AB17" s="263">
        <f>IFERROR(IF(U17="Probabilidad",(AB16-(+AB16*X17)),IF(U17="Impacto",M16,"")),"")</f>
        <v>0.216</v>
      </c>
      <c r="AC17" s="269" t="str">
        <f t="shared" si="1"/>
        <v>Baja</v>
      </c>
      <c r="AD17" s="124">
        <f t="shared" si="4"/>
        <v>0.216</v>
      </c>
      <c r="AE17" s="269" t="str">
        <f t="shared" si="2"/>
        <v>Moderado</v>
      </c>
      <c r="AF17" s="264">
        <f t="shared" ref="AF17" si="10">IFERROR(IF(U17="Impacto",(Q16-(+Q16*X17)),IF(U17="Probabilidad",Q16,"")),"")</f>
        <v>0.6</v>
      </c>
      <c r="AG17" s="265" t="str">
        <f t="shared" si="3"/>
        <v>Moderado</v>
      </c>
      <c r="AH17" s="266" t="s">
        <v>160</v>
      </c>
      <c r="AI17" s="426"/>
      <c r="AJ17" s="275" t="s">
        <v>30</v>
      </c>
      <c r="AK17" s="156" t="s">
        <v>589</v>
      </c>
      <c r="AL17" s="189" t="s">
        <v>220</v>
      </c>
      <c r="AM17" s="278"/>
      <c r="AN17" s="277" t="s">
        <v>165</v>
      </c>
      <c r="AO17" s="424"/>
      <c r="AP17" s="424"/>
      <c r="AQ17" s="424"/>
      <c r="AR17" s="277" t="s">
        <v>208</v>
      </c>
      <c r="AS17" s="277"/>
      <c r="AT17" s="277" t="s">
        <v>208</v>
      </c>
      <c r="AU17" s="277"/>
      <c r="AV17" s="277" t="s">
        <v>208</v>
      </c>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row>
    <row r="18" spans="1:72" s="3" customFormat="1" ht="105.75" customHeight="1" x14ac:dyDescent="0.25">
      <c r="A18" s="629"/>
      <c r="B18" s="527"/>
      <c r="C18" s="528"/>
      <c r="D18" s="493"/>
      <c r="E18" s="635"/>
      <c r="F18" s="427"/>
      <c r="G18" s="427"/>
      <c r="H18" s="427"/>
      <c r="I18" s="427"/>
      <c r="J18" s="427"/>
      <c r="K18" s="558"/>
      <c r="L18" s="429"/>
      <c r="M18" s="431"/>
      <c r="N18" s="482"/>
      <c r="O18" s="431"/>
      <c r="P18" s="429"/>
      <c r="Q18" s="431"/>
      <c r="R18" s="486"/>
      <c r="S18" s="157">
        <v>3</v>
      </c>
      <c r="T18" s="155" t="s">
        <v>308</v>
      </c>
      <c r="U18" s="260" t="s">
        <v>154</v>
      </c>
      <c r="V18" s="261" t="s">
        <v>169</v>
      </c>
      <c r="W18" s="261" t="s">
        <v>156</v>
      </c>
      <c r="X18" s="262" t="str">
        <f t="shared" si="0"/>
        <v>30%</v>
      </c>
      <c r="Y18" s="261" t="s">
        <v>157</v>
      </c>
      <c r="Z18" s="261" t="s">
        <v>158</v>
      </c>
      <c r="AA18" s="261" t="s">
        <v>159</v>
      </c>
      <c r="AB18" s="263">
        <f>IFERROR(IF(U18="Probabilidad",(AB17-(+AB17*X18)),IF(U18="Impacto",M17,"")),"")</f>
        <v>0.1512</v>
      </c>
      <c r="AC18" s="269" t="str">
        <f t="shared" si="1"/>
        <v>Muy Baja</v>
      </c>
      <c r="AD18" s="124">
        <f t="shared" si="4"/>
        <v>0.1512</v>
      </c>
      <c r="AE18" s="269" t="str">
        <f t="shared" si="2"/>
        <v>Moderado</v>
      </c>
      <c r="AF18" s="264">
        <f>IFERROR(IF(U18="Impacto",(Q16-(+Q16*X18)),IF(U18="Probabilidad",Q16,"")),"")</f>
        <v>0.6</v>
      </c>
      <c r="AG18" s="265" t="str">
        <f t="shared" si="3"/>
        <v>Moderado</v>
      </c>
      <c r="AH18" s="266" t="s">
        <v>160</v>
      </c>
      <c r="AI18" s="427"/>
      <c r="AJ18" s="275" t="s">
        <v>30</v>
      </c>
      <c r="AK18" s="156" t="s">
        <v>589</v>
      </c>
      <c r="AL18" s="189" t="s">
        <v>306</v>
      </c>
      <c r="AM18" s="260"/>
      <c r="AN18" s="277" t="s">
        <v>165</v>
      </c>
      <c r="AO18" s="425"/>
      <c r="AP18" s="425"/>
      <c r="AQ18" s="425"/>
      <c r="AR18" s="277" t="s">
        <v>208</v>
      </c>
      <c r="AS18" s="277"/>
      <c r="AT18" s="277" t="s">
        <v>208</v>
      </c>
      <c r="AU18" s="277"/>
      <c r="AV18" s="277" t="s">
        <v>208</v>
      </c>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row>
    <row r="19" spans="1:72" s="3" customFormat="1" ht="216.75" customHeight="1" x14ac:dyDescent="0.25">
      <c r="A19" s="627" t="s">
        <v>17</v>
      </c>
      <c r="B19" s="526" t="s">
        <v>289</v>
      </c>
      <c r="C19" s="630" t="s">
        <v>290</v>
      </c>
      <c r="D19" s="520" t="s">
        <v>31</v>
      </c>
      <c r="E19" s="491">
        <v>1</v>
      </c>
      <c r="F19" s="426" t="s">
        <v>147</v>
      </c>
      <c r="G19" s="426" t="s">
        <v>309</v>
      </c>
      <c r="H19" s="426" t="s">
        <v>310</v>
      </c>
      <c r="I19" s="523" t="s">
        <v>311</v>
      </c>
      <c r="J19" s="466" t="s">
        <v>188</v>
      </c>
      <c r="K19" s="466">
        <v>3360</v>
      </c>
      <c r="L19" s="428" t="str">
        <f>IF(K19&lt;=0,"",IF(K19&lt;=2,"Muy Baja",IF(K19&lt;=24,"Baja",IF(K19&lt;=500,"Media",IF(K19&lt;=5000,"Alta","Muy Alta")))))</f>
        <v>Alta</v>
      </c>
      <c r="M19" s="430">
        <f>IF(L19="","",IF(L19="Muy Baja",0.2,IF(L19="Baja",0.4,IF(L19="Media",0.6,IF(L19="Alta",0.8,IF(L19="Muy Alta",1,))))))</f>
        <v>0.8</v>
      </c>
      <c r="N19" s="466" t="s">
        <v>227</v>
      </c>
      <c r="O19" s="466" t="str">
        <f ca="1">IF(NOT(ISERROR(MATCH(N19,_xlfn.ANCHORARRAY(I19),0))),M19&amp;"Por favor no seleccionar los criterios de impacto",N19)</f>
        <v xml:space="preserve">     Entre 50 y 100 SMLMV </v>
      </c>
      <c r="P19" s="428" t="str">
        <f ca="1">IF(OR(O19='[1]Tabla Impacto'!$C$11,O19='[1]Tabla Impacto'!$D$11),"Leve",IF(OR(O19='[1]Tabla Impacto'!$C$12,O19='[1]Tabla Impacto'!$D$12),"Menor",IF(OR(O19='[1]Tabla Impacto'!$C$13,O19='[1]Tabla Impacto'!$D$13),"Moderado",IF(OR(O19='[1]Tabla Impacto'!$C$14,O19='[1]Tabla Impacto'!$D$14),"Mayor",IF(OR(O19='[1]Tabla Impacto'!$C$15,O19='[1]Tabla Impacto'!$D$15),"Catastrófico","")))))</f>
        <v>Moderado</v>
      </c>
      <c r="Q19" s="430">
        <f ca="1">IF(P19="","",IF(P19="Leve",0.2,IF(P19="Menor",0.4,IF(P19="Moderado",0.6,IF(P19="Mayor",0.8,IF(P19="Catastrófico",1,))))))</f>
        <v>0.6</v>
      </c>
      <c r="R19" s="484" t="str">
        <f ca="1">IF(OR(AND(L19="Muy Baja",P19="Leve"),AND(L19="Muy Baja",P19="Menor"),AND(L19="Baja",P19="Leve")),"Bajo",IF(OR(AND(L19="Muy baja",P19="Moderado"),AND(L19="Baja",P19="Menor"),AND(L19="Baja",P19="Moderado"),AND(L19="Media",P19="Leve"),AND(L19="Media",P19="Menor"),AND(L19="Media",P19="Moderado"),AND(L19="Alta",P19="Leve"),AND(L19="Alta",P19="Menor")),"Moderado",IF(OR(AND(L19="Muy Baja",P19="Mayor"),AND(L19="Baja",P19="Mayor"),AND(L19="Media",P19="Mayor"),AND(L19="Alta",P19="Moderado"),AND(L19="Alta",P19="Mayor"),AND(L19="Muy Alta",P19="Leve"),AND(L19="Muy Alta",P19="Menor"),AND(L19="Muy Alta",P19="Moderado"),AND(L19="Muy Alta",P19="Mayor")),"Alto",IF(OR(AND(L19="Muy Baja",P19="Catastrófico"),AND(L19="Baja",P19="Catastrófico"),AND(L19="Media",P19="Catastrófico"),AND(L19="Alta",P19="Catastrófico"),AND(L19="Muy Alta",P19="Catastrófico")),"Extremo",""))))</f>
        <v>Alto</v>
      </c>
      <c r="S19" s="125">
        <v>1</v>
      </c>
      <c r="T19" s="259" t="s">
        <v>312</v>
      </c>
      <c r="U19" s="260" t="s">
        <v>154</v>
      </c>
      <c r="V19" s="261" t="s">
        <v>155</v>
      </c>
      <c r="W19" s="261" t="s">
        <v>156</v>
      </c>
      <c r="X19" s="262" t="str">
        <f t="shared" si="0"/>
        <v>40%</v>
      </c>
      <c r="Y19" s="261" t="s">
        <v>157</v>
      </c>
      <c r="Z19" s="261" t="s">
        <v>158</v>
      </c>
      <c r="AA19" s="261" t="s">
        <v>159</v>
      </c>
      <c r="AB19" s="263">
        <f>IFERROR(IF(U19="Probabilidad",(M19-(+M19*X19)),IF(U19="Impacto",M19,"")),"")</f>
        <v>0.48</v>
      </c>
      <c r="AC19" s="269" t="str">
        <f t="shared" si="1"/>
        <v>Media</v>
      </c>
      <c r="AD19" s="264">
        <f t="shared" ref="AD19:AD29" si="11">+AB19</f>
        <v>0.48</v>
      </c>
      <c r="AE19" s="269" t="str">
        <f t="shared" ca="1" si="2"/>
        <v>Moderado</v>
      </c>
      <c r="AF19" s="264">
        <f ca="1">IFERROR(IF(U19="Impacto",(Q19-(+Q19*X19)),IF(U19="Probabilidad",Q19,"")),"")</f>
        <v>0.6</v>
      </c>
      <c r="AG19" s="265" t="str">
        <f t="shared" ca="1" si="3"/>
        <v>Moderado</v>
      </c>
      <c r="AH19" s="266" t="s">
        <v>160</v>
      </c>
      <c r="AI19" s="466" t="s">
        <v>313</v>
      </c>
      <c r="AJ19" s="187" t="s">
        <v>31</v>
      </c>
      <c r="AK19" s="188" t="s">
        <v>306</v>
      </c>
      <c r="AL19" s="189" t="s">
        <v>314</v>
      </c>
      <c r="AM19" s="470" t="s">
        <v>315</v>
      </c>
      <c r="AN19" s="267" t="s">
        <v>165</v>
      </c>
      <c r="AO19" s="468"/>
      <c r="AP19" s="468"/>
      <c r="AQ19" s="468"/>
      <c r="AR19" s="267" t="s">
        <v>208</v>
      </c>
      <c r="AS19" s="267"/>
      <c r="AT19" s="267" t="s">
        <v>208</v>
      </c>
      <c r="AU19" s="267" t="s">
        <v>208</v>
      </c>
      <c r="AV19" s="267"/>
      <c r="AW19" s="26"/>
      <c r="AX19" s="26"/>
      <c r="AY19" s="26"/>
      <c r="AZ19" s="26"/>
      <c r="BA19" s="26"/>
      <c r="BB19" s="26"/>
      <c r="BC19" s="26"/>
      <c r="BD19" s="26"/>
      <c r="BE19" s="26"/>
      <c r="BF19" s="26"/>
      <c r="BG19" s="26"/>
      <c r="BH19" s="26"/>
      <c r="BI19" s="26"/>
      <c r="BJ19" s="26"/>
      <c r="BK19" s="26"/>
      <c r="BL19" s="26"/>
      <c r="BM19" s="26"/>
      <c r="BN19" s="26"/>
      <c r="BO19" s="26"/>
      <c r="BP19" s="26"/>
      <c r="BQ19" s="26" t="s">
        <v>167</v>
      </c>
      <c r="BR19" s="26"/>
      <c r="BS19" s="26"/>
      <c r="BT19" s="26"/>
    </row>
    <row r="20" spans="1:72" s="3" customFormat="1" ht="157.5" customHeight="1" x14ac:dyDescent="0.25">
      <c r="A20" s="628"/>
      <c r="B20" s="496"/>
      <c r="C20" s="496"/>
      <c r="D20" s="521"/>
      <c r="E20" s="522"/>
      <c r="F20" s="427"/>
      <c r="G20" s="427"/>
      <c r="H20" s="427"/>
      <c r="I20" s="427"/>
      <c r="J20" s="427"/>
      <c r="K20" s="427"/>
      <c r="L20" s="429"/>
      <c r="M20" s="431"/>
      <c r="N20" s="427"/>
      <c r="O20" s="427"/>
      <c r="P20" s="429"/>
      <c r="Q20" s="431"/>
      <c r="R20" s="486"/>
      <c r="S20" s="125">
        <v>2</v>
      </c>
      <c r="T20" s="259" t="s">
        <v>316</v>
      </c>
      <c r="U20" s="260" t="s">
        <v>154</v>
      </c>
      <c r="V20" s="261" t="s">
        <v>169</v>
      </c>
      <c r="W20" s="261" t="s">
        <v>156</v>
      </c>
      <c r="X20" s="262" t="str">
        <f t="shared" si="0"/>
        <v>30%</v>
      </c>
      <c r="Y20" s="261" t="s">
        <v>157</v>
      </c>
      <c r="Z20" s="261" t="s">
        <v>158</v>
      </c>
      <c r="AA20" s="261" t="s">
        <v>190</v>
      </c>
      <c r="AB20" s="263">
        <f>IFERROR(IF(U20="Probabilidad",(AB19-(+AB19*X20)),IF(U20="Impacto",AB19,"")),"")</f>
        <v>0.33599999999999997</v>
      </c>
      <c r="AC20" s="269" t="str">
        <f t="shared" si="1"/>
        <v>Baja</v>
      </c>
      <c r="AD20" s="124">
        <f t="shared" si="11"/>
        <v>0.33599999999999997</v>
      </c>
      <c r="AE20" s="269" t="str">
        <f t="shared" ca="1" si="2"/>
        <v>Moderado</v>
      </c>
      <c r="AF20" s="264">
        <f ca="1">IFERROR(IF(U20="Impacto",(Q19-(+Q19*X20)),IF(U20="Probabilidad",Q19,"")),"")</f>
        <v>0.6</v>
      </c>
      <c r="AG20" s="265" t="str">
        <f t="shared" ca="1" si="3"/>
        <v>Moderado</v>
      </c>
      <c r="AH20" s="266" t="s">
        <v>160</v>
      </c>
      <c r="AI20" s="427"/>
      <c r="AJ20" s="187" t="s">
        <v>31</v>
      </c>
      <c r="AK20" s="188" t="s">
        <v>306</v>
      </c>
      <c r="AL20" s="189" t="s">
        <v>314</v>
      </c>
      <c r="AM20" s="489"/>
      <c r="AN20" s="267" t="s">
        <v>165</v>
      </c>
      <c r="AO20" s="425"/>
      <c r="AP20" s="425"/>
      <c r="AQ20" s="425"/>
      <c r="AR20" s="267" t="s">
        <v>208</v>
      </c>
      <c r="AS20" s="267"/>
      <c r="AT20" s="267" t="s">
        <v>208</v>
      </c>
      <c r="AU20" s="267" t="s">
        <v>208</v>
      </c>
      <c r="AV20" s="267"/>
      <c r="AW20" s="26"/>
      <c r="AX20" s="26"/>
      <c r="AY20" s="26"/>
      <c r="AZ20" s="26"/>
      <c r="BA20" s="26"/>
      <c r="BB20" s="26"/>
      <c r="BC20" s="26"/>
      <c r="BD20" s="26"/>
      <c r="BE20" s="26"/>
      <c r="BF20" s="26"/>
      <c r="BG20" s="26"/>
      <c r="BH20" s="26"/>
      <c r="BI20" s="26"/>
      <c r="BJ20" s="26"/>
      <c r="BK20" s="26"/>
      <c r="BL20" s="26"/>
      <c r="BM20" s="26"/>
      <c r="BN20" s="26"/>
      <c r="BO20" s="26"/>
      <c r="BP20" s="26"/>
      <c r="BQ20" s="26" t="s">
        <v>16</v>
      </c>
      <c r="BR20" s="26"/>
      <c r="BS20" s="26"/>
      <c r="BT20" s="26"/>
    </row>
    <row r="21" spans="1:72" ht="128.25" customHeight="1" x14ac:dyDescent="0.3">
      <c r="A21" s="628"/>
      <c r="B21" s="496"/>
      <c r="C21" s="496"/>
      <c r="D21" s="521"/>
      <c r="E21" s="490">
        <v>2</v>
      </c>
      <c r="F21" s="466" t="s">
        <v>147</v>
      </c>
      <c r="G21" s="466" t="s">
        <v>317</v>
      </c>
      <c r="H21" s="466" t="s">
        <v>318</v>
      </c>
      <c r="I21" s="466" t="s">
        <v>319</v>
      </c>
      <c r="J21" s="426" t="s">
        <v>320</v>
      </c>
      <c r="K21" s="468">
        <v>14</v>
      </c>
      <c r="L21" s="428" t="str">
        <f t="shared" ref="L21" si="12">IF(K21&lt;=0,"",IF(K21&lt;=2,"Muy Baja",IF(K21&lt;=24,"Baja",IF(K21&lt;=500,"Media",IF(K21&lt;=5000,"Alta","Muy Alta")))))</f>
        <v>Baja</v>
      </c>
      <c r="M21" s="430">
        <f>IF(L21="","",IF(L21="Muy Baja",0.2,IF(L21="Baja",0.4,IF(L21="Media",0.6,IF(L21="Alta",0.8,IF(L21="Muy Alta",1,))))))</f>
        <v>0.4</v>
      </c>
      <c r="N21" s="473" t="s">
        <v>152</v>
      </c>
      <c r="O21" s="481" t="str">
        <f ca="1">IF(NOT(ISERROR(MATCH(N21,_xlfn.ANCHORARRAY(#REF!),0))),#REF!&amp;"Por favor no seleccionar los criterios de impacto",N21)</f>
        <v xml:space="preserve">     El riesgo afecta la imagen de la entidad con algunos usuarios de relevancia frente al logro de los objetivos</v>
      </c>
      <c r="P21" s="428" t="str">
        <f ca="1">IF(OR(O21='[1]Tabla Impacto'!$C$11,O21='[1]Tabla Impacto'!$D$11),"Leve",IF(OR(O21='[1]Tabla Impacto'!$C$12,O21='[1]Tabla Impacto'!$D$12),"Menor",IF(OR(O21='[1]Tabla Impacto'!$C$13,O21='[1]Tabla Impacto'!$D$13),"Moderado",IF(OR(O21='[1]Tabla Impacto'!$C$14,O21='[1]Tabla Impacto'!$D$14),"Mayor",IF(OR(O21='[1]Tabla Impacto'!$C$15,O21='[1]Tabla Impacto'!$D$15),"Catastrófico","")))))</f>
        <v>Moderado</v>
      </c>
      <c r="Q21" s="430">
        <f ca="1">IF(P21="","",IF(P21="Leve",0.2,IF(P21="Menor",0.4,IF(P21="Moderado",0.6,IF(P21="Mayor",0.8,IF(P21="Catastrófico",1,))))))</f>
        <v>0.6</v>
      </c>
      <c r="R21" s="484" t="str">
        <f ca="1">IF(OR(AND(L21="Muy Baja",P21="Leve"),AND(L21="Muy Baja",P21="Menor"),AND(L21="Baja",P21="Leve")),"Bajo",IF(OR(AND(L21="Muy baja",P21="Moderado"),AND(L21="Baja",P21="Menor"),AND(L21="Baja",P21="Moderado"),AND(L21="Media",P21="Leve"),AND(L21="Media",P21="Menor"),AND(L21="Media",P21="Moderado"),AND(L21="Alta",P21="Leve"),AND(L21="Alta",P21="Menor")),"Moderado",IF(OR(AND(L21="Muy Baja",P21="Mayor"),AND(L21="Baja",P21="Mayor"),AND(L21="Media",P21="Mayor"),AND(L21="Alta",P21="Moderado"),AND(L21="Alta",P21="Mayor"),AND(L21="Muy Alta",P21="Leve"),AND(L21="Muy Alta",P21="Menor"),AND(L21="Muy Alta",P21="Moderado"),AND(L21="Muy Alta",P21="Mayor")),"Alto",IF(OR(AND(L21="Muy Baja",P21="Catastrófico"),AND(L21="Baja",P21="Catastrófico"),AND(L21="Media",P21="Catastrófico"),AND(L21="Alta",P21="Catastrófico"),AND(L21="Muy Alta",P21="Catastrófico")),"Extremo",""))))</f>
        <v>Moderado</v>
      </c>
      <c r="S21" s="125">
        <v>1</v>
      </c>
      <c r="T21" s="259" t="s">
        <v>321</v>
      </c>
      <c r="U21" s="260" t="s">
        <v>154</v>
      </c>
      <c r="V21" s="261" t="s">
        <v>155</v>
      </c>
      <c r="W21" s="261" t="s">
        <v>156</v>
      </c>
      <c r="X21" s="262" t="str">
        <f t="shared" si="0"/>
        <v>40%</v>
      </c>
      <c r="Y21" s="261" t="s">
        <v>157</v>
      </c>
      <c r="Z21" s="261" t="s">
        <v>158</v>
      </c>
      <c r="AA21" s="261" t="s">
        <v>159</v>
      </c>
      <c r="AB21" s="263">
        <f>IFERROR(IF(U21="Probabilidad",(M21-(+M21*X21)),IF(U21="Impacto",M21,"")),"")</f>
        <v>0.24</v>
      </c>
      <c r="AC21" s="269" t="str">
        <f t="shared" si="1"/>
        <v>Baja</v>
      </c>
      <c r="AD21" s="264">
        <f t="shared" si="11"/>
        <v>0.24</v>
      </c>
      <c r="AE21" s="269" t="str">
        <f t="shared" ca="1" si="2"/>
        <v>Moderado</v>
      </c>
      <c r="AF21" s="264">
        <f t="shared" ref="AF21:AF24" ca="1" si="13">IFERROR(IF(U21="Impacto",(Q21-(+Q21*X21)),IF(U21="Probabilidad",Q21,"")),"")</f>
        <v>0.6</v>
      </c>
      <c r="AG21" s="265" t="str">
        <f t="shared" ca="1" si="3"/>
        <v>Moderado</v>
      </c>
      <c r="AH21" s="266" t="s">
        <v>160</v>
      </c>
      <c r="AI21" s="466" t="s">
        <v>278</v>
      </c>
      <c r="AJ21" s="275" t="s">
        <v>31</v>
      </c>
      <c r="AK21" s="268" t="s">
        <v>306</v>
      </c>
      <c r="AL21" s="260" t="s">
        <v>306</v>
      </c>
      <c r="AM21" s="268" t="s">
        <v>322</v>
      </c>
      <c r="AN21" s="267" t="s">
        <v>165</v>
      </c>
      <c r="AO21" s="468"/>
      <c r="AP21" s="468"/>
      <c r="AQ21" s="468"/>
      <c r="AR21" s="267"/>
      <c r="AS21" s="267"/>
      <c r="AT21" s="267" t="s">
        <v>208</v>
      </c>
      <c r="AU21" s="267" t="s">
        <v>208</v>
      </c>
      <c r="AV21" s="267"/>
      <c r="AW21" s="7"/>
      <c r="AX21" s="7"/>
      <c r="AY21" s="7"/>
      <c r="AZ21" s="7"/>
      <c r="BA21" s="7"/>
      <c r="BB21" s="7"/>
      <c r="BC21" s="7"/>
      <c r="BD21" s="7"/>
      <c r="BE21" s="7"/>
      <c r="BF21" s="7"/>
      <c r="BG21" s="7"/>
      <c r="BH21" s="7"/>
      <c r="BI21" s="7"/>
      <c r="BJ21" s="7"/>
      <c r="BK21" s="7"/>
      <c r="BL21" s="7"/>
      <c r="BM21" s="7"/>
      <c r="BN21" s="7"/>
      <c r="BO21" s="7"/>
      <c r="BP21" s="7"/>
      <c r="BQ21" s="7" t="s">
        <v>14</v>
      </c>
      <c r="BR21" s="7"/>
      <c r="BS21" s="7"/>
      <c r="BT21" s="7"/>
    </row>
    <row r="22" spans="1:72" ht="39.75" customHeight="1" x14ac:dyDescent="0.3">
      <c r="A22" s="628"/>
      <c r="B22" s="496"/>
      <c r="C22" s="496"/>
      <c r="D22" s="521"/>
      <c r="E22" s="491"/>
      <c r="F22" s="426"/>
      <c r="G22" s="426"/>
      <c r="H22" s="426"/>
      <c r="I22" s="426"/>
      <c r="J22" s="426"/>
      <c r="K22" s="424"/>
      <c r="L22" s="483"/>
      <c r="M22" s="481"/>
      <c r="N22" s="473"/>
      <c r="O22" s="481"/>
      <c r="P22" s="483"/>
      <c r="Q22" s="481"/>
      <c r="R22" s="498"/>
      <c r="S22" s="125">
        <v>2</v>
      </c>
      <c r="T22" s="259" t="s">
        <v>323</v>
      </c>
      <c r="U22" s="260" t="s">
        <v>154</v>
      </c>
      <c r="V22" s="261" t="s">
        <v>169</v>
      </c>
      <c r="W22" s="261" t="s">
        <v>156</v>
      </c>
      <c r="X22" s="262" t="str">
        <f t="shared" si="0"/>
        <v>30%</v>
      </c>
      <c r="Y22" s="261" t="s">
        <v>157</v>
      </c>
      <c r="Z22" s="261" t="s">
        <v>158</v>
      </c>
      <c r="AA22" s="261" t="s">
        <v>159</v>
      </c>
      <c r="AB22" s="263">
        <f>IFERROR(IF(U22="Probabilidad",(AB21-(+AB21*X22)),IF(U22="Impacto",AB21,"")),"")</f>
        <v>0.16799999999999998</v>
      </c>
      <c r="AC22" s="269" t="str">
        <f t="shared" si="1"/>
        <v>Muy Baja</v>
      </c>
      <c r="AD22" s="264">
        <f t="shared" si="11"/>
        <v>0.16799999999999998</v>
      </c>
      <c r="AE22" s="269" t="str">
        <f t="shared" ca="1" si="2"/>
        <v>Moderado</v>
      </c>
      <c r="AF22" s="264">
        <f ca="1">IFERROR(IF(U22="Impacto",(Q21-(+Q21*X22)),IF(U22="Probabilidad",Q21,"")),"")</f>
        <v>0.6</v>
      </c>
      <c r="AG22" s="265" t="str">
        <f t="shared" ca="1" si="3"/>
        <v>Moderado</v>
      </c>
      <c r="AH22" s="266" t="s">
        <v>160</v>
      </c>
      <c r="AI22" s="426"/>
      <c r="AJ22" s="275" t="s">
        <v>31</v>
      </c>
      <c r="AK22" s="268" t="s">
        <v>306</v>
      </c>
      <c r="AL22" s="260" t="s">
        <v>306</v>
      </c>
      <c r="AM22" s="268" t="s">
        <v>322</v>
      </c>
      <c r="AN22" s="267" t="s">
        <v>165</v>
      </c>
      <c r="AO22" s="424"/>
      <c r="AP22" s="424"/>
      <c r="AQ22" s="424"/>
      <c r="AR22" s="267"/>
      <c r="AS22" s="267"/>
      <c r="AT22" s="267" t="s">
        <v>208</v>
      </c>
      <c r="AU22" s="267" t="s">
        <v>208</v>
      </c>
      <c r="AV22" s="267"/>
      <c r="AW22" s="7"/>
      <c r="AX22" s="7"/>
      <c r="AY22" s="7"/>
      <c r="AZ22" s="7"/>
      <c r="BA22" s="7"/>
      <c r="BB22" s="7"/>
      <c r="BC22" s="7"/>
      <c r="BD22" s="7"/>
      <c r="BE22" s="7"/>
      <c r="BF22" s="7"/>
      <c r="BG22" s="7"/>
      <c r="BH22" s="7"/>
      <c r="BI22" s="7"/>
      <c r="BJ22" s="7"/>
      <c r="BK22" s="7"/>
      <c r="BL22" s="7"/>
      <c r="BM22" s="7"/>
      <c r="BN22" s="7"/>
      <c r="BO22" s="7"/>
      <c r="BP22" s="7"/>
      <c r="BQ22" s="7"/>
      <c r="BR22" s="7"/>
      <c r="BS22" s="7"/>
      <c r="BT22" s="7"/>
    </row>
    <row r="23" spans="1:72" ht="190.5" customHeight="1" x14ac:dyDescent="0.3">
      <c r="A23" s="628"/>
      <c r="B23" s="496"/>
      <c r="C23" s="496"/>
      <c r="D23" s="521"/>
      <c r="E23" s="491"/>
      <c r="F23" s="427"/>
      <c r="G23" s="427"/>
      <c r="H23" s="427"/>
      <c r="I23" s="426"/>
      <c r="J23" s="426"/>
      <c r="K23" s="424"/>
      <c r="L23" s="483"/>
      <c r="M23" s="481"/>
      <c r="N23" s="482"/>
      <c r="O23" s="481"/>
      <c r="P23" s="483"/>
      <c r="Q23" s="481"/>
      <c r="R23" s="498"/>
      <c r="S23" s="125">
        <v>3</v>
      </c>
      <c r="T23" s="259" t="s">
        <v>324</v>
      </c>
      <c r="U23" s="260" t="s">
        <v>154</v>
      </c>
      <c r="V23" s="261" t="s">
        <v>155</v>
      </c>
      <c r="W23" s="261" t="s">
        <v>156</v>
      </c>
      <c r="X23" s="262" t="str">
        <f t="shared" si="0"/>
        <v>40%</v>
      </c>
      <c r="Y23" s="261" t="s">
        <v>157</v>
      </c>
      <c r="Z23" s="261" t="s">
        <v>158</v>
      </c>
      <c r="AA23" s="261" t="s">
        <v>159</v>
      </c>
      <c r="AB23" s="263">
        <f>IFERROR(IF(U23="Probabilidad",(AB22-(+AB22*X23)),IF(U23="Impacto",AB22,"")),"")</f>
        <v>0.10079999999999999</v>
      </c>
      <c r="AC23" s="269" t="str">
        <f t="shared" si="1"/>
        <v>Muy Baja</v>
      </c>
      <c r="AD23" s="264">
        <f t="shared" si="11"/>
        <v>0.10079999999999999</v>
      </c>
      <c r="AE23" s="269" t="str">
        <f t="shared" ca="1" si="2"/>
        <v>Moderado</v>
      </c>
      <c r="AF23" s="264">
        <f ca="1">IFERROR(IF(U23="Impacto",(Q21-(+Q21*X23)),IF(U23="Probabilidad",Q21,"")),"")</f>
        <v>0.6</v>
      </c>
      <c r="AG23" s="265" t="str">
        <f t="shared" ca="1" si="3"/>
        <v>Moderado</v>
      </c>
      <c r="AH23" s="266" t="s">
        <v>160</v>
      </c>
      <c r="AI23" s="427"/>
      <c r="AJ23" s="275" t="s">
        <v>31</v>
      </c>
      <c r="AK23" s="268" t="s">
        <v>325</v>
      </c>
      <c r="AL23" s="260" t="s">
        <v>326</v>
      </c>
      <c r="AM23" s="268" t="s">
        <v>327</v>
      </c>
      <c r="AN23" s="267" t="s">
        <v>165</v>
      </c>
      <c r="AO23" s="424"/>
      <c r="AP23" s="424"/>
      <c r="AQ23" s="424"/>
      <c r="AR23" s="267"/>
      <c r="AS23" s="267"/>
      <c r="AT23" s="267" t="s">
        <v>208</v>
      </c>
      <c r="AU23" s="267" t="s">
        <v>208</v>
      </c>
      <c r="AV23" s="267"/>
      <c r="AW23" s="7"/>
      <c r="AX23" s="7"/>
      <c r="AY23" s="7"/>
      <c r="AZ23" s="7"/>
      <c r="BA23" s="7"/>
      <c r="BB23" s="7"/>
      <c r="BC23" s="7"/>
      <c r="BD23" s="7"/>
      <c r="BE23" s="7"/>
      <c r="BF23" s="7"/>
      <c r="BG23" s="7"/>
      <c r="BH23" s="7"/>
      <c r="BI23" s="7"/>
      <c r="BJ23" s="7"/>
      <c r="BK23" s="7"/>
      <c r="BL23" s="7"/>
      <c r="BM23" s="7"/>
      <c r="BN23" s="7"/>
      <c r="BO23" s="7"/>
      <c r="BP23" s="7"/>
      <c r="BQ23" s="7"/>
      <c r="BR23" s="7"/>
      <c r="BS23" s="7"/>
      <c r="BT23" s="7"/>
    </row>
    <row r="24" spans="1:72" ht="273" customHeight="1" x14ac:dyDescent="0.3">
      <c r="A24" s="629"/>
      <c r="B24" s="527"/>
      <c r="C24" s="496"/>
      <c r="D24" s="521"/>
      <c r="E24" s="290">
        <v>3</v>
      </c>
      <c r="F24" s="153" t="s">
        <v>223</v>
      </c>
      <c r="G24" s="153" t="s">
        <v>328</v>
      </c>
      <c r="H24" s="153" t="s">
        <v>329</v>
      </c>
      <c r="I24" s="153" t="s">
        <v>330</v>
      </c>
      <c r="J24" s="153" t="s">
        <v>188</v>
      </c>
      <c r="K24" s="153">
        <v>16</v>
      </c>
      <c r="L24" s="287" t="str">
        <f t="shared" ref="L24:L26" si="14">IF(K24&lt;=0,"",IF(K24&lt;=2,"Muy Baja",IF(K24&lt;=24,"Baja",IF(K24&lt;=500,"Media",IF(K24&lt;=5000,"Alta","Muy Alta")))))</f>
        <v>Baja</v>
      </c>
      <c r="M24" s="284">
        <f>IF(L24="","",IF(L24="Muy Baja",0.2,IF(L24="Baja",0.4,IF(L24="Media",0.6,IF(L24="Alta",0.8,IF(L24="Muy Alta",1,))))))</f>
        <v>0.4</v>
      </c>
      <c r="N24" s="147" t="str">
        <f>'Tabla Impacto'!D7</f>
        <v>El riesgo afecta la imagen de de la entidad con efecto publicitario sostenido a nivel de sector administrativo, nivel departamental o municipal</v>
      </c>
      <c r="O24" s="148" t="str">
        <f ca="1">IF(NOT(ISERROR(MATCH(N24,_xlfn.ANCHORARRAY(#REF!),0))),#REF!&amp;"Por favor no seleccionar los criterios de impacto",N24)</f>
        <v>El riesgo afecta la imagen de de la entidad con efecto publicitario sostenido a nivel de sector administrativo, nivel departamental o municipal</v>
      </c>
      <c r="P24" s="149" t="str">
        <f ca="1">IF(OR(O24='Tabla Impacto'!$C$4,O24='Tabla Impacto'!$D$4),"Leve",IF(OR(O24='Tabla Impacto'!$C$5,O24='Tabla Impacto'!$D$5),"Menor",IF(OR(O24='Tabla Impacto'!$C$6,O24='Tabla Impacto'!$D$6),"Moderado",IF(OR(O24='Tabla Impacto'!$C$7,O24='Tabla Impacto'!$D$7),"Mayor",IF(OR(O24='Tabla Impacto'!$C$8,O24='Tabla Impacto'!$D$8),"Catastrófico","")))))</f>
        <v>Mayor</v>
      </c>
      <c r="Q24" s="150">
        <f ca="1">IF(P24="","",IF(P24="Leve",0.2,IF(P24="Menor",0.4,IF(P24="Moderado",0.6,IF(P24="Mayor",0.8,IF(P24="Catastrófico",1,))))))</f>
        <v>0.8</v>
      </c>
      <c r="R24" s="151" t="str">
        <f ca="1">IF(OR(AND(L24="Muy Baja",P24="Leve"),AND(L24="Muy Baja",P24="Menor"),AND(L24="Baja",P24="Leve")),"Bajo",IF(OR(AND(L24="Muy baja",P24="Moderado"),AND(L24="Baja",P24="Menor"),AND(L24="Baja",P24="Moderado"),AND(L24="Media",P24="Leve"),AND(L24="Media",P24="Menor"),AND(L24="Media",P24="Moderado"),AND(L24="Alta",P24="Leve"),AND(L24="Alta",P24="Menor")),"Moderado",IF(OR(AND(L24="Muy Baja",P24="Mayor"),AND(L24="Baja",P24="Mayor"),AND(L24="Media",P24="Mayor"),AND(L24="Alta",P24="Moderado"),AND(L24="Alta",P24="Mayor"),AND(L24="Muy Alta",P24="Leve"),AND(L24="Muy Alta",P24="Menor"),AND(L24="Muy Alta",P24="Moderado"),AND(L24="Muy Alta",P24="Mayor")),"Alto",IF(OR(AND(L24="Muy Baja",P24="Catastrófico"),AND(L24="Baja",P24="Catastrófico"),AND(L24="Media",P24="Catastrófico"),AND(L24="Alta",P24="Catastrófico"),AND(L24="Muy Alta",P24="Catastrófico")),"Extremo",""))))</f>
        <v>Alto</v>
      </c>
      <c r="S24" s="125">
        <v>1</v>
      </c>
      <c r="T24" s="259" t="s">
        <v>331</v>
      </c>
      <c r="U24" s="260" t="s">
        <v>154</v>
      </c>
      <c r="V24" s="261" t="s">
        <v>155</v>
      </c>
      <c r="W24" s="261" t="s">
        <v>156</v>
      </c>
      <c r="X24" s="262" t="str">
        <f t="shared" si="0"/>
        <v>40%</v>
      </c>
      <c r="Y24" s="261" t="s">
        <v>157</v>
      </c>
      <c r="Z24" s="261" t="s">
        <v>158</v>
      </c>
      <c r="AA24" s="261" t="s">
        <v>159</v>
      </c>
      <c r="AB24" s="263">
        <f>IFERROR(IF(U24="Probabilidad",(M24-(+M24*X24)),IF(U24="Impacto",M24,"")),"")</f>
        <v>0.24</v>
      </c>
      <c r="AC24" s="269" t="str">
        <f t="shared" si="1"/>
        <v>Baja</v>
      </c>
      <c r="AD24" s="264">
        <f t="shared" si="11"/>
        <v>0.24</v>
      </c>
      <c r="AE24" s="269" t="str">
        <f t="shared" ca="1" si="2"/>
        <v>Mayor</v>
      </c>
      <c r="AF24" s="264">
        <f t="shared" ca="1" si="13"/>
        <v>0.8</v>
      </c>
      <c r="AG24" s="265" t="str">
        <f t="shared" ca="1" si="3"/>
        <v>Alto</v>
      </c>
      <c r="AH24" s="266" t="s">
        <v>160</v>
      </c>
      <c r="AI24" s="187"/>
      <c r="AJ24" s="275" t="s">
        <v>31</v>
      </c>
      <c r="AK24" s="144" t="s">
        <v>332</v>
      </c>
      <c r="AL24" s="145" t="s">
        <v>332</v>
      </c>
      <c r="AM24" s="146" t="s">
        <v>333</v>
      </c>
      <c r="AN24" s="267" t="s">
        <v>165</v>
      </c>
      <c r="AO24" s="277"/>
      <c r="AP24" s="277"/>
      <c r="AQ24" s="277"/>
      <c r="AR24" s="267" t="s">
        <v>208</v>
      </c>
      <c r="AS24" s="267"/>
      <c r="AT24" s="267" t="s">
        <v>208</v>
      </c>
      <c r="AU24" s="267" t="s">
        <v>208</v>
      </c>
      <c r="AV24" s="267" t="s">
        <v>208</v>
      </c>
      <c r="AW24" s="7"/>
      <c r="AX24" s="7"/>
      <c r="AY24" s="7"/>
      <c r="AZ24" s="7"/>
      <c r="BA24" s="7"/>
      <c r="BB24" s="7"/>
      <c r="BC24" s="7"/>
      <c r="BD24" s="7"/>
      <c r="BE24" s="7"/>
      <c r="BF24" s="7"/>
      <c r="BG24" s="7"/>
      <c r="BH24" s="7"/>
      <c r="BI24" s="7"/>
      <c r="BJ24" s="7"/>
      <c r="BK24" s="7"/>
      <c r="BL24" s="7"/>
      <c r="BM24" s="7"/>
      <c r="BN24" s="7"/>
      <c r="BO24" s="7"/>
      <c r="BP24" s="7"/>
      <c r="BQ24" s="7" t="s">
        <v>193</v>
      </c>
      <c r="BR24" s="7"/>
      <c r="BS24" s="7"/>
      <c r="BT24" s="7"/>
    </row>
    <row r="25" spans="1:72" ht="168" customHeight="1" x14ac:dyDescent="0.3">
      <c r="A25" s="627" t="s">
        <v>17</v>
      </c>
      <c r="B25" s="526" t="s">
        <v>289</v>
      </c>
      <c r="C25" s="496" t="s">
        <v>290</v>
      </c>
      <c r="D25" s="627" t="s">
        <v>33</v>
      </c>
      <c r="E25" s="290">
        <v>1</v>
      </c>
      <c r="F25" s="152" t="s">
        <v>172</v>
      </c>
      <c r="G25" s="276" t="s">
        <v>334</v>
      </c>
      <c r="H25" s="276" t="s">
        <v>335</v>
      </c>
      <c r="I25" s="276" t="s">
        <v>336</v>
      </c>
      <c r="J25" s="276" t="s">
        <v>188</v>
      </c>
      <c r="K25" s="292">
        <v>240</v>
      </c>
      <c r="L25" s="287" t="str">
        <f t="shared" si="14"/>
        <v>Media</v>
      </c>
      <c r="M25" s="284">
        <f>IF(L25="","",IF(L25="Muy Baja",0.2,IF(L25="Baja",0.4,IF(L25="Media",0.6,IF(L25="Alta",0.8,IF(L25="Muy Alta",1,))))))</f>
        <v>0.6</v>
      </c>
      <c r="N25" s="147" t="str">
        <f>'Tabla Impacto'!D7</f>
        <v>El riesgo afecta la imagen de de la entidad con efecto publicitario sostenido a nivel de sector administrativo, nivel departamental o municipal</v>
      </c>
      <c r="O25" s="148" t="str">
        <f ca="1">IF(NOT(ISERROR(MATCH(N25,_xlfn.ANCHORARRAY(#REF!),0))),#REF!&amp;"Por favor no seleccionar los criterios de impacto",N25)</f>
        <v>El riesgo afecta la imagen de de la entidad con efecto publicitario sostenido a nivel de sector administrativo, nivel departamental o municipal</v>
      </c>
      <c r="P25" s="149" t="str">
        <f ca="1">IF(OR(O25='Tabla Impacto'!$C$4,O25='Tabla Impacto'!$D$4),"Leve",IF(OR(O25='Tabla Impacto'!$C$5,O25='Tabla Impacto'!$D$5),"Menor",IF(OR(O25='Tabla Impacto'!$C$6,O25='Tabla Impacto'!$D$6),"Moderado",IF(OR(O25='Tabla Impacto'!$C$7,O25='Tabla Impacto'!$D$7),"Mayor",IF(OR(O25='Tabla Impacto'!$C$8,O25='Tabla Impacto'!$D$8),"Catastrófico","")))))</f>
        <v>Mayor</v>
      </c>
      <c r="Q25" s="150">
        <f ca="1">IF(P25="","",IF(P25="Leve",0.2,IF(P25="Menor",0.4,IF(P25="Moderado",0.6,IF(P25="Mayor",0.8,IF(P25="Catastrófico",1,))))))</f>
        <v>0.8</v>
      </c>
      <c r="R25" s="151" t="str">
        <f ca="1">IF(OR(AND(L25="Muy Baja",P25="Leve"),AND(L25="Muy Baja",P25="Menor"),AND(L25="Baja",P25="Leve")),"Bajo",IF(OR(AND(L25="Muy baja",P25="Moderado"),AND(L25="Baja",P25="Menor"),AND(L25="Baja",P25="Moderado"),AND(L25="Media",P25="Leve"),AND(L25="Media",P25="Menor"),AND(L25="Media",P25="Moderado"),AND(L25="Alta",P25="Leve"),AND(L25="Alta",P25="Menor")),"Moderado",IF(OR(AND(L25="Muy Baja",P25="Mayor"),AND(L25="Baja",P25="Mayor"),AND(L25="Media",P25="Mayor"),AND(L25="Alta",P25="Moderado"),AND(L25="Alta",P25="Mayor"),AND(L25="Muy Alta",P25="Leve"),AND(L25="Muy Alta",P25="Menor"),AND(L25="Muy Alta",P25="Moderado"),AND(L25="Muy Alta",P25="Mayor")),"Alto",IF(OR(AND(L25="Muy Baja",P25="Catastrófico"),AND(L25="Baja",P25="Catastrófico"),AND(L25="Media",P25="Catastrófico"),AND(L25="Alta",P25="Catastrófico"),AND(L25="Muy Alta",P25="Catastrófico")),"Extremo",""))))</f>
        <v>Alto</v>
      </c>
      <c r="S25" s="125">
        <v>1</v>
      </c>
      <c r="T25" s="259" t="s">
        <v>337</v>
      </c>
      <c r="U25" s="260" t="s">
        <v>154</v>
      </c>
      <c r="V25" s="261" t="s">
        <v>155</v>
      </c>
      <c r="W25" s="261" t="s">
        <v>156</v>
      </c>
      <c r="X25" s="262" t="str">
        <f t="shared" si="0"/>
        <v>40%</v>
      </c>
      <c r="Y25" s="261" t="s">
        <v>157</v>
      </c>
      <c r="Z25" s="261" t="s">
        <v>158</v>
      </c>
      <c r="AA25" s="261" t="s">
        <v>159</v>
      </c>
      <c r="AB25" s="263">
        <f>IFERROR(IF(U25="Probabilidad",(AB24-(+AB24*X25)),IF(U25="Impacto",AB24,"")),"")</f>
        <v>0.14399999999999999</v>
      </c>
      <c r="AC25" s="269" t="str">
        <f t="shared" si="1"/>
        <v>Muy Baja</v>
      </c>
      <c r="AD25" s="264">
        <f t="shared" si="11"/>
        <v>0.14399999999999999</v>
      </c>
      <c r="AE25" s="269" t="str">
        <f t="shared" ca="1" si="2"/>
        <v>Mayor</v>
      </c>
      <c r="AF25" s="264">
        <f ca="1">IFERROR(IF(U25="Impacto",(Q25-(+Q25*X25)),IF(U25="Probabilidad",Q25,"")),"")</f>
        <v>0.8</v>
      </c>
      <c r="AG25" s="265" t="str">
        <f t="shared" ca="1" si="3"/>
        <v>Alto</v>
      </c>
      <c r="AH25" s="266" t="s">
        <v>160</v>
      </c>
      <c r="AI25" s="187"/>
      <c r="AJ25" s="187" t="s">
        <v>33</v>
      </c>
      <c r="AK25" s="188" t="s">
        <v>255</v>
      </c>
      <c r="AL25" s="189"/>
      <c r="AM25" s="131"/>
      <c r="AN25" s="267" t="s">
        <v>165</v>
      </c>
      <c r="AO25" s="468"/>
      <c r="AP25" s="468"/>
      <c r="AQ25" s="468"/>
      <c r="AR25" s="267"/>
      <c r="AS25" s="267"/>
      <c r="AT25" s="267" t="s">
        <v>208</v>
      </c>
      <c r="AU25" s="267" t="s">
        <v>208</v>
      </c>
      <c r="AV25" s="267"/>
      <c r="AW25" s="7"/>
      <c r="AX25" s="7"/>
      <c r="AY25" s="7"/>
      <c r="AZ25" s="7"/>
      <c r="BA25" s="7"/>
      <c r="BB25" s="7"/>
      <c r="BC25" s="7"/>
      <c r="BD25" s="7"/>
      <c r="BE25" s="7"/>
      <c r="BF25" s="7"/>
      <c r="BG25" s="7"/>
      <c r="BH25" s="7"/>
      <c r="BI25" s="7"/>
      <c r="BJ25" s="7"/>
      <c r="BK25" s="7"/>
      <c r="BL25" s="7"/>
      <c r="BM25" s="7"/>
      <c r="BN25" s="7"/>
      <c r="BO25" s="7"/>
      <c r="BP25" s="7"/>
      <c r="BQ25" s="7"/>
      <c r="BR25" s="7"/>
      <c r="BS25" s="7"/>
      <c r="BT25" s="7"/>
    </row>
    <row r="26" spans="1:72" ht="264.75" customHeight="1" x14ac:dyDescent="0.3">
      <c r="A26" s="628"/>
      <c r="B26" s="496"/>
      <c r="C26" s="496"/>
      <c r="D26" s="628"/>
      <c r="E26" s="490">
        <v>2</v>
      </c>
      <c r="F26" s="466" t="s">
        <v>147</v>
      </c>
      <c r="G26" s="426" t="s">
        <v>334</v>
      </c>
      <c r="H26" s="466" t="s">
        <v>338</v>
      </c>
      <c r="I26" s="466" t="s">
        <v>339</v>
      </c>
      <c r="J26" s="426" t="s">
        <v>188</v>
      </c>
      <c r="K26" s="468">
        <v>240</v>
      </c>
      <c r="L26" s="428" t="str">
        <f t="shared" si="14"/>
        <v>Media</v>
      </c>
      <c r="M26" s="430">
        <f t="shared" ref="M26:M28" si="15">IF(L26="","",IF(L26="Muy Baja",0.2,IF(L26="Baja",0.4,IF(L26="Media",0.6,IF(L26="Alta",0.8,IF(L26="Muy Alta",1,))))))</f>
        <v>0.6</v>
      </c>
      <c r="N26" s="473" t="s">
        <v>340</v>
      </c>
      <c r="O26" s="481" t="str">
        <f ca="1">IF(NOT(ISERROR(MATCH(N26,_xlfn.ANCHORARRAY(#REF!),0))),#REF!&amp;"Por favor no seleccionar los criterios de impacto",N26)</f>
        <v xml:space="preserve">     Afectación menor a 10 SMLMV .</v>
      </c>
      <c r="P26" s="428" t="str">
        <f ca="1">IF(OR(O26='[4]Tabla Impacto'!$C$11,O26='[4]Tabla Impacto'!$D$11),"Leve",IF(OR(O26='[4]Tabla Impacto'!$C$12,O26='[4]Tabla Impacto'!$D$12),"Menor",IF(OR(O26='[4]Tabla Impacto'!$C$13,O26='[4]Tabla Impacto'!$D$13),"Moderado",IF(OR(O26='[4]Tabla Impacto'!$C$14,O26='[4]Tabla Impacto'!$D$14),"Mayor",IF(OR(O26='[4]Tabla Impacto'!$C$15,O26='[4]Tabla Impacto'!$D$15),"Catastrófico","")))))</f>
        <v>Leve</v>
      </c>
      <c r="Q26" s="430">
        <f t="shared" ref="Q26:Q28" ca="1" si="16">IF(P26="","",IF(P26="Leve",0.2,IF(P26="Menor",0.4,IF(P26="Moderado",0.6,IF(P26="Mayor",0.8,IF(P26="Catastrófico",1,))))))</f>
        <v>0.2</v>
      </c>
      <c r="R26" s="484" t="str">
        <f t="shared" ref="R26" ca="1" si="17">IF(OR(AND(L26="Muy Baja",P26="Leve"),AND(L26="Muy Baja",P26="Menor"),AND(L26="Baja",P26="Leve")),"Bajo",IF(OR(AND(L26="Muy baja",P26="Moderado"),AND(L26="Baja",P26="Menor"),AND(L26="Baja",P26="Moderado"),AND(L26="Media",P26="Leve"),AND(L26="Media",P26="Menor"),AND(L26="Media",P26="Moderado"),AND(L26="Alta",P26="Leve"),AND(L26="Alta",P26="Menor")),"Moderado",IF(OR(AND(L26="Muy Baja",P26="Mayor"),AND(L26="Baja",P26="Mayor"),AND(L26="Media",P26="Mayor"),AND(L26="Alta",P26="Moderado"),AND(L26="Alta",P26="Mayor"),AND(L26="Muy Alta",P26="Leve"),AND(L26="Muy Alta",P26="Menor"),AND(L26="Muy Alta",P26="Moderado"),AND(L26="Muy Alta",P26="Mayor")),"Alto",IF(OR(AND(L26="Muy Baja",P26="Catastrófico"),AND(L26="Baja",P26="Catastrófico"),AND(L26="Media",P26="Catastrófico"),AND(L26="Alta",P26="Catastrófico"),AND(L26="Muy Alta",P26="Catastrófico")),"Extremo",""))))</f>
        <v>Moderado</v>
      </c>
      <c r="S26" s="125">
        <v>1</v>
      </c>
      <c r="T26" s="259" t="s">
        <v>341</v>
      </c>
      <c r="U26" s="260" t="s">
        <v>154</v>
      </c>
      <c r="V26" s="261" t="s">
        <v>155</v>
      </c>
      <c r="W26" s="261" t="s">
        <v>156</v>
      </c>
      <c r="X26" s="262" t="str">
        <f t="shared" si="0"/>
        <v>40%</v>
      </c>
      <c r="Y26" s="261" t="s">
        <v>157</v>
      </c>
      <c r="Z26" s="261" t="s">
        <v>158</v>
      </c>
      <c r="AA26" s="261" t="s">
        <v>159</v>
      </c>
      <c r="AB26" s="263">
        <f>IFERROR(IF(U26="Probabilidad",(M26-(+M26*X26)),IF(U26="Impacto",M26,"")),"")</f>
        <v>0.36</v>
      </c>
      <c r="AC26" s="269" t="str">
        <f t="shared" si="1"/>
        <v>Baja</v>
      </c>
      <c r="AD26" s="264">
        <f t="shared" si="11"/>
        <v>0.36</v>
      </c>
      <c r="AE26" s="269" t="str">
        <f t="shared" ca="1" si="2"/>
        <v>Leve</v>
      </c>
      <c r="AF26" s="264">
        <f t="shared" ref="AF26" ca="1" si="18">IFERROR(IF(U26="Impacto",(Q26-(+Q26*X26)),IF(U26="Probabilidad",Q26,"")),"")</f>
        <v>0.2</v>
      </c>
      <c r="AG26" s="265" t="str">
        <f t="shared" ca="1" si="3"/>
        <v>Bajo</v>
      </c>
      <c r="AH26" s="266" t="s">
        <v>160</v>
      </c>
      <c r="AI26" s="187"/>
      <c r="AJ26" s="268" t="s">
        <v>33</v>
      </c>
      <c r="AK26" s="188" t="s">
        <v>255</v>
      </c>
      <c r="AL26" s="189"/>
      <c r="AM26" s="260"/>
      <c r="AN26" s="267" t="s">
        <v>165</v>
      </c>
      <c r="AO26" s="425"/>
      <c r="AP26" s="425"/>
      <c r="AQ26" s="425"/>
      <c r="AR26" s="267"/>
      <c r="AS26" s="267"/>
      <c r="AT26" s="267"/>
      <c r="AU26" s="267" t="s">
        <v>208</v>
      </c>
      <c r="AV26" s="267"/>
      <c r="AW26" s="7"/>
      <c r="AX26" s="7"/>
      <c r="AY26" s="7"/>
      <c r="AZ26" s="7"/>
      <c r="BA26" s="7"/>
      <c r="BB26" s="7"/>
      <c r="BC26" s="7"/>
      <c r="BD26" s="7"/>
      <c r="BE26" s="7"/>
      <c r="BF26" s="7"/>
      <c r="BG26" s="7"/>
      <c r="BH26" s="7"/>
      <c r="BI26" s="7"/>
      <c r="BJ26" s="7"/>
      <c r="BK26" s="7"/>
      <c r="BL26" s="7"/>
      <c r="BM26" s="7"/>
      <c r="BN26" s="7"/>
      <c r="BO26" s="7"/>
      <c r="BP26" s="7"/>
      <c r="BQ26" s="7"/>
      <c r="BR26" s="7"/>
      <c r="BS26" s="7"/>
      <c r="BT26" s="7"/>
    </row>
    <row r="27" spans="1:72" ht="260.25" customHeight="1" x14ac:dyDescent="0.3">
      <c r="A27" s="628"/>
      <c r="B27" s="496"/>
      <c r="C27" s="496"/>
      <c r="D27" s="628"/>
      <c r="E27" s="522"/>
      <c r="F27" s="427"/>
      <c r="G27" s="427"/>
      <c r="H27" s="427"/>
      <c r="I27" s="427"/>
      <c r="J27" s="427"/>
      <c r="K27" s="424"/>
      <c r="L27" s="429"/>
      <c r="M27" s="431"/>
      <c r="N27" s="473"/>
      <c r="O27" s="481"/>
      <c r="P27" s="429"/>
      <c r="Q27" s="431"/>
      <c r="R27" s="486"/>
      <c r="S27" s="125">
        <v>2</v>
      </c>
      <c r="T27" s="259" t="s">
        <v>342</v>
      </c>
      <c r="U27" s="260" t="s">
        <v>154</v>
      </c>
      <c r="V27" s="261" t="s">
        <v>169</v>
      </c>
      <c r="W27" s="261" t="s">
        <v>295</v>
      </c>
      <c r="X27" s="262" t="str">
        <f t="shared" si="0"/>
        <v>40%</v>
      </c>
      <c r="Y27" s="261" t="s">
        <v>157</v>
      </c>
      <c r="Z27" s="261" t="s">
        <v>158</v>
      </c>
      <c r="AA27" s="261" t="s">
        <v>159</v>
      </c>
      <c r="AB27" s="263">
        <f>IFERROR(IF(U27="Probabilidad",(AB26-(+AB26*X27)),IF(U27="Impacto",AB26,"")),"")</f>
        <v>0.216</v>
      </c>
      <c r="AC27" s="269" t="str">
        <f t="shared" si="1"/>
        <v>Baja</v>
      </c>
      <c r="AD27" s="264">
        <f t="shared" si="11"/>
        <v>0.216</v>
      </c>
      <c r="AE27" s="269" t="str">
        <f t="shared" ca="1" si="2"/>
        <v>Leve</v>
      </c>
      <c r="AF27" s="264">
        <f ca="1">IFERROR(IF(U27="Impacto",(Q26-(+Q26*X27)),IF(U27="Probabilidad",Q26,"")),"")</f>
        <v>0.2</v>
      </c>
      <c r="AG27" s="265" t="str">
        <f t="shared" ca="1" si="3"/>
        <v>Bajo</v>
      </c>
      <c r="AH27" s="266" t="s">
        <v>160</v>
      </c>
      <c r="AI27" s="187"/>
      <c r="AJ27" s="268" t="s">
        <v>33</v>
      </c>
      <c r="AK27" s="188" t="s">
        <v>255</v>
      </c>
      <c r="AL27" s="145"/>
      <c r="AM27" s="278"/>
      <c r="AN27" s="267" t="s">
        <v>165</v>
      </c>
      <c r="AO27" s="277"/>
      <c r="AP27" s="277"/>
      <c r="AQ27" s="277"/>
      <c r="AR27" s="267"/>
      <c r="AS27" s="267"/>
      <c r="AT27" s="267"/>
      <c r="AU27" s="267" t="s">
        <v>208</v>
      </c>
      <c r="AV27" s="267"/>
      <c r="AW27" s="7"/>
      <c r="AX27" s="7"/>
      <c r="AY27" s="7"/>
      <c r="AZ27" s="7"/>
      <c r="BA27" s="7"/>
      <c r="BB27" s="7"/>
      <c r="BC27" s="7"/>
      <c r="BD27" s="7"/>
      <c r="BE27" s="7"/>
      <c r="BF27" s="7"/>
      <c r="BG27" s="7"/>
      <c r="BH27" s="7"/>
      <c r="BI27" s="7"/>
      <c r="BJ27" s="7"/>
      <c r="BK27" s="7"/>
      <c r="BL27" s="7"/>
      <c r="BM27" s="7"/>
      <c r="BN27" s="7"/>
      <c r="BO27" s="7"/>
      <c r="BP27" s="7"/>
      <c r="BQ27" s="7"/>
      <c r="BR27" s="7"/>
      <c r="BS27" s="7"/>
      <c r="BT27" s="7"/>
    </row>
    <row r="28" spans="1:72" ht="195.75" customHeight="1" x14ac:dyDescent="0.3">
      <c r="A28" s="628"/>
      <c r="B28" s="496"/>
      <c r="C28" s="496"/>
      <c r="D28" s="628"/>
      <c r="E28" s="490">
        <v>3</v>
      </c>
      <c r="F28" s="466" t="s">
        <v>147</v>
      </c>
      <c r="G28" s="426" t="s">
        <v>334</v>
      </c>
      <c r="H28" s="466" t="s">
        <v>343</v>
      </c>
      <c r="I28" s="466" t="s">
        <v>344</v>
      </c>
      <c r="J28" s="426" t="s">
        <v>345</v>
      </c>
      <c r="K28" s="424">
        <v>240</v>
      </c>
      <c r="L28" s="428" t="str">
        <f t="shared" ref="L28" si="19">IF(K28&lt;=0,"",IF(K28&lt;=2,"Muy Baja",IF(K28&lt;=24,"Baja",IF(K28&lt;=500,"Media",IF(K28&lt;=5000,"Alta","Muy Alta")))))</f>
        <v>Media</v>
      </c>
      <c r="M28" s="430">
        <f t="shared" si="15"/>
        <v>0.6</v>
      </c>
      <c r="N28" s="473" t="s">
        <v>346</v>
      </c>
      <c r="O28" s="481" t="str">
        <f ca="1">IF(NOT(ISERROR(MATCH(N28,_xlfn.ANCHORARRAY(#REF!),0))),#REF!&amp;"Por favor no seleccionar los criterios de impacto",N28)</f>
        <v xml:space="preserve">     Entre 100 y 500 SMLMV </v>
      </c>
      <c r="P28" s="428" t="str">
        <f ca="1">IF(OR(O28='[4]Tabla Impacto'!$C$11,O28='[4]Tabla Impacto'!$D$11),"Leve",IF(OR(O28='[4]Tabla Impacto'!$C$12,O28='[4]Tabla Impacto'!$D$12),"Menor",IF(OR(O28='[4]Tabla Impacto'!$C$13,O28='[4]Tabla Impacto'!$D$13),"Moderado",IF(OR(O28='[4]Tabla Impacto'!$C$14,O28='[4]Tabla Impacto'!$D$14),"Mayor",IF(OR(O28='[4]Tabla Impacto'!$C$15,O28='[4]Tabla Impacto'!$D$15),"Catastrófico","")))))</f>
        <v>Mayor</v>
      </c>
      <c r="Q28" s="430">
        <f t="shared" ca="1" si="16"/>
        <v>0.8</v>
      </c>
      <c r="R28" s="484" t="str">
        <f t="shared" ref="R28" ca="1" si="20">IF(OR(AND(L28="Muy Baja",P28="Leve"),AND(L28="Muy Baja",P28="Menor"),AND(L28="Baja",P28="Leve")),"Bajo",IF(OR(AND(L28="Muy baja",P28="Moderado"),AND(L28="Baja",P28="Menor"),AND(L28="Baja",P28="Moderado"),AND(L28="Media",P28="Leve"),AND(L28="Media",P28="Menor"),AND(L28="Media",P28="Moderado"),AND(L28="Alta",P28="Leve"),AND(L28="Alta",P28="Menor")),"Moderado",IF(OR(AND(L28="Muy Baja",P28="Mayor"),AND(L28="Baja",P28="Mayor"),AND(L28="Media",P28="Mayor"),AND(L28="Alta",P28="Moderado"),AND(L28="Alta",P28="Mayor"),AND(L28="Muy Alta",P28="Leve"),AND(L28="Muy Alta",P28="Menor"),AND(L28="Muy Alta",P28="Moderado"),AND(L28="Muy Alta",P28="Mayor")),"Alto",IF(OR(AND(L28="Muy Baja",P28="Catastrófico"),AND(L28="Baja",P28="Catastrófico"),AND(L28="Media",P28="Catastrófico"),AND(L28="Alta",P28="Catastrófico"),AND(L28="Muy Alta",P28="Catastrófico")),"Extremo",""))))</f>
        <v>Alto</v>
      </c>
      <c r="S28" s="125">
        <v>1</v>
      </c>
      <c r="T28" s="259" t="s">
        <v>347</v>
      </c>
      <c r="U28" s="260" t="s">
        <v>154</v>
      </c>
      <c r="V28" s="261" t="s">
        <v>155</v>
      </c>
      <c r="W28" s="261" t="s">
        <v>156</v>
      </c>
      <c r="X28" s="262" t="str">
        <f t="shared" si="0"/>
        <v>40%</v>
      </c>
      <c r="Y28" s="261" t="s">
        <v>157</v>
      </c>
      <c r="Z28" s="261" t="s">
        <v>158</v>
      </c>
      <c r="AA28" s="261" t="s">
        <v>159</v>
      </c>
      <c r="AB28" s="263">
        <f>IFERROR(IF(U28="Probabilidad",(M28-(+M28*X28)),IF(U28="Impacto",M28,"")),"")</f>
        <v>0.36</v>
      </c>
      <c r="AC28" s="269" t="str">
        <f t="shared" si="1"/>
        <v>Baja</v>
      </c>
      <c r="AD28" s="264">
        <f t="shared" si="11"/>
        <v>0.36</v>
      </c>
      <c r="AE28" s="269" t="str">
        <f t="shared" ca="1" si="2"/>
        <v>Mayor</v>
      </c>
      <c r="AF28" s="264">
        <f ca="1">IFERROR(IF(U28="Impacto",(Q28-(+Q28*X28)),IF(U28="Probabilidad",Q28,"")),"")</f>
        <v>0.8</v>
      </c>
      <c r="AG28" s="265" t="str">
        <f t="shared" ca="1" si="3"/>
        <v>Alto</v>
      </c>
      <c r="AH28" s="266" t="s">
        <v>160</v>
      </c>
      <c r="AI28" s="187"/>
      <c r="AJ28" s="268" t="s">
        <v>33</v>
      </c>
      <c r="AK28" s="188" t="s">
        <v>255</v>
      </c>
      <c r="AL28" s="145"/>
      <c r="AM28" s="278"/>
      <c r="AN28" s="267" t="s">
        <v>165</v>
      </c>
      <c r="AO28" s="277"/>
      <c r="AP28" s="277"/>
      <c r="AQ28" s="277"/>
      <c r="AR28" s="267" t="s">
        <v>208</v>
      </c>
      <c r="AS28" s="267"/>
      <c r="AT28" s="267"/>
      <c r="AU28" s="267" t="s">
        <v>208</v>
      </c>
      <c r="AV28" s="267"/>
      <c r="AW28" s="7"/>
      <c r="AX28" s="7"/>
      <c r="AY28" s="7"/>
      <c r="AZ28" s="7"/>
      <c r="BA28" s="7"/>
      <c r="BB28" s="7"/>
      <c r="BC28" s="7"/>
      <c r="BD28" s="7"/>
      <c r="BE28" s="7"/>
      <c r="BF28" s="7"/>
      <c r="BG28" s="7"/>
      <c r="BH28" s="7"/>
      <c r="BI28" s="7"/>
      <c r="BJ28" s="7"/>
      <c r="BK28" s="7"/>
      <c r="BL28" s="7"/>
      <c r="BM28" s="7"/>
      <c r="BN28" s="7"/>
      <c r="BO28" s="7"/>
      <c r="BP28" s="7"/>
      <c r="BQ28" s="7"/>
      <c r="BR28" s="7"/>
      <c r="BS28" s="7"/>
      <c r="BT28" s="7"/>
    </row>
    <row r="29" spans="1:72" ht="78.75" customHeight="1" x14ac:dyDescent="0.3">
      <c r="A29" s="629"/>
      <c r="B29" s="527"/>
      <c r="C29" s="527"/>
      <c r="D29" s="629"/>
      <c r="E29" s="522"/>
      <c r="F29" s="427"/>
      <c r="G29" s="427"/>
      <c r="H29" s="427"/>
      <c r="I29" s="427"/>
      <c r="J29" s="427"/>
      <c r="K29" s="424"/>
      <c r="L29" s="429"/>
      <c r="M29" s="431"/>
      <c r="N29" s="473"/>
      <c r="O29" s="481"/>
      <c r="P29" s="429"/>
      <c r="Q29" s="431"/>
      <c r="R29" s="486"/>
      <c r="S29" s="125">
        <v>2</v>
      </c>
      <c r="T29" s="259" t="s">
        <v>348</v>
      </c>
      <c r="U29" s="260" t="s">
        <v>154</v>
      </c>
      <c r="V29" s="261" t="s">
        <v>155</v>
      </c>
      <c r="W29" s="261" t="s">
        <v>156</v>
      </c>
      <c r="X29" s="262" t="str">
        <f t="shared" si="0"/>
        <v>40%</v>
      </c>
      <c r="Y29" s="261" t="s">
        <v>157</v>
      </c>
      <c r="Z29" s="261" t="s">
        <v>158</v>
      </c>
      <c r="AA29" s="261" t="s">
        <v>159</v>
      </c>
      <c r="AB29" s="263">
        <f t="shared" ref="AB29" si="21">IFERROR(IF(U29="Probabilidad",(AB28-(+AB28*X29)),IF(U29="Impacto",AB28,"")),"")</f>
        <v>0.216</v>
      </c>
      <c r="AC29" s="269" t="str">
        <f t="shared" si="1"/>
        <v>Baja</v>
      </c>
      <c r="AD29" s="264">
        <f t="shared" si="11"/>
        <v>0.216</v>
      </c>
      <c r="AE29" s="269" t="str">
        <f t="shared" ca="1" si="2"/>
        <v>Mayor</v>
      </c>
      <c r="AF29" s="264">
        <f t="shared" ref="AF29" ca="1" si="22">IFERROR(IF(U29="Impacto",(Q28-(+Q28*X29)),IF(U29="Probabilidad",Q28,"")),"")</f>
        <v>0.8</v>
      </c>
      <c r="AG29" s="265" t="str">
        <f t="shared" ca="1" si="3"/>
        <v>Alto</v>
      </c>
      <c r="AH29" s="266" t="s">
        <v>160</v>
      </c>
      <c r="AI29" s="187"/>
      <c r="AJ29" s="268" t="s">
        <v>33</v>
      </c>
      <c r="AK29" s="188" t="s">
        <v>255</v>
      </c>
      <c r="AL29" s="145"/>
      <c r="AM29" s="278"/>
      <c r="AN29" s="267" t="s">
        <v>165</v>
      </c>
      <c r="AO29" s="267"/>
      <c r="AP29" s="267"/>
      <c r="AQ29" s="267"/>
      <c r="AR29" s="267" t="s">
        <v>208</v>
      </c>
      <c r="AS29" s="267"/>
      <c r="AT29" s="267"/>
      <c r="AU29" s="267" t="s">
        <v>208</v>
      </c>
      <c r="AV29" s="267"/>
      <c r="AW29" s="7"/>
      <c r="AX29" s="7"/>
      <c r="AY29" s="7"/>
      <c r="AZ29" s="7"/>
      <c r="BA29" s="7"/>
      <c r="BB29" s="7"/>
      <c r="BC29" s="7"/>
      <c r="BD29" s="7"/>
      <c r="BE29" s="7"/>
      <c r="BF29" s="7"/>
      <c r="BG29" s="7"/>
      <c r="BH29" s="7"/>
      <c r="BI29" s="7"/>
      <c r="BJ29" s="7"/>
      <c r="BK29" s="7"/>
      <c r="BL29" s="7"/>
      <c r="BM29" s="7"/>
      <c r="BN29" s="7"/>
      <c r="BO29" s="7"/>
      <c r="BP29" s="7"/>
      <c r="BQ29" s="7"/>
      <c r="BR29" s="7"/>
      <c r="BS29" s="7"/>
      <c r="BT29" s="7"/>
    </row>
    <row r="30" spans="1:72" ht="49.5" customHeight="1" x14ac:dyDescent="0.3">
      <c r="E30" s="6"/>
      <c r="F30" s="534" t="s">
        <v>445</v>
      </c>
      <c r="G30" s="535"/>
      <c r="H30" s="535"/>
      <c r="I30" s="535"/>
      <c r="J30" s="535"/>
      <c r="K30" s="535"/>
      <c r="L30" s="535"/>
      <c r="M30" s="535"/>
      <c r="N30" s="535"/>
      <c r="O30" s="535"/>
      <c r="P30" s="535"/>
      <c r="Q30" s="535"/>
      <c r="R30" s="535"/>
      <c r="S30" s="535"/>
      <c r="T30" s="535"/>
      <c r="U30" s="535"/>
      <c r="V30" s="535"/>
      <c r="W30" s="535"/>
      <c r="X30" s="535"/>
      <c r="Y30" s="535"/>
      <c r="Z30" s="535"/>
      <c r="AA30" s="535"/>
      <c r="AB30" s="535"/>
      <c r="AC30" s="535"/>
      <c r="AD30" s="535"/>
      <c r="AE30" s="535"/>
      <c r="AF30" s="535"/>
      <c r="AG30" s="535"/>
      <c r="AH30" s="535"/>
      <c r="AI30" s="535"/>
      <c r="AJ30" s="535"/>
      <c r="AK30" s="535"/>
      <c r="AL30" s="535"/>
      <c r="AM30" s="535"/>
      <c r="AN30" s="536"/>
    </row>
    <row r="32" spans="1:72" x14ac:dyDescent="0.3">
      <c r="E32" s="1"/>
      <c r="F32" s="24" t="s">
        <v>446</v>
      </c>
      <c r="G32" s="1"/>
      <c r="H32" s="1"/>
      <c r="J32" s="1"/>
    </row>
  </sheetData>
  <dataConsolidate/>
  <mergeCells count="205">
    <mergeCell ref="F30:AN30"/>
    <mergeCell ref="Q28:Q29"/>
    <mergeCell ref="R28:R29"/>
    <mergeCell ref="K28:K29"/>
    <mergeCell ref="L28:L29"/>
    <mergeCell ref="M28:M29"/>
    <mergeCell ref="N28:N29"/>
    <mergeCell ref="O28:O29"/>
    <mergeCell ref="P28:P29"/>
    <mergeCell ref="A19:A24"/>
    <mergeCell ref="B19:B24"/>
    <mergeCell ref="P26:P27"/>
    <mergeCell ref="Q26:Q27"/>
    <mergeCell ref="R26:R27"/>
    <mergeCell ref="G26:G27"/>
    <mergeCell ref="H26:H27"/>
    <mergeCell ref="I26:I27"/>
    <mergeCell ref="J26:J27"/>
    <mergeCell ref="K26:K27"/>
    <mergeCell ref="L26:L27"/>
    <mergeCell ref="M26:M27"/>
    <mergeCell ref="N26:N27"/>
    <mergeCell ref="O26:O27"/>
    <mergeCell ref="Q21:Q23"/>
    <mergeCell ref="R21:R23"/>
    <mergeCell ref="A25:A29"/>
    <mergeCell ref="B25:B29"/>
    <mergeCell ref="C25:C29"/>
    <mergeCell ref="D25:D29"/>
    <mergeCell ref="AI21:AI23"/>
    <mergeCell ref="AO21:AO23"/>
    <mergeCell ref="AP21:AP23"/>
    <mergeCell ref="J21:J23"/>
    <mergeCell ref="K21:K23"/>
    <mergeCell ref="L21:L23"/>
    <mergeCell ref="M21:M23"/>
    <mergeCell ref="N21:N23"/>
    <mergeCell ref="O21:O23"/>
    <mergeCell ref="AO25:AO26"/>
    <mergeCell ref="AP25:AP26"/>
    <mergeCell ref="AQ25:AQ26"/>
    <mergeCell ref="E26:E27"/>
    <mergeCell ref="F26:F27"/>
    <mergeCell ref="E28:E29"/>
    <mergeCell ref="F28:F29"/>
    <mergeCell ref="G28:G29"/>
    <mergeCell ref="H28:H29"/>
    <mergeCell ref="I28:I29"/>
    <mergeCell ref="J28:J29"/>
    <mergeCell ref="AI19:AI20"/>
    <mergeCell ref="AM19:AM20"/>
    <mergeCell ref="AO19:AO20"/>
    <mergeCell ref="AP19:AP20"/>
    <mergeCell ref="AQ19:AQ20"/>
    <mergeCell ref="E21:E23"/>
    <mergeCell ref="F21:F23"/>
    <mergeCell ref="G21:G23"/>
    <mergeCell ref="H21:H23"/>
    <mergeCell ref="I21:I23"/>
    <mergeCell ref="M19:M20"/>
    <mergeCell ref="N19:N20"/>
    <mergeCell ref="O19:O20"/>
    <mergeCell ref="P19:P20"/>
    <mergeCell ref="Q19:Q20"/>
    <mergeCell ref="R19:R20"/>
    <mergeCell ref="G19:G20"/>
    <mergeCell ref="H19:H20"/>
    <mergeCell ref="I19:I20"/>
    <mergeCell ref="J19:J20"/>
    <mergeCell ref="K19:K20"/>
    <mergeCell ref="L19:L20"/>
    <mergeCell ref="AQ21:AQ23"/>
    <mergeCell ref="P21:P23"/>
    <mergeCell ref="E16:E18"/>
    <mergeCell ref="F16:F18"/>
    <mergeCell ref="G16:G18"/>
    <mergeCell ref="H16:H18"/>
    <mergeCell ref="I16:I18"/>
    <mergeCell ref="J16:J18"/>
    <mergeCell ref="C19:C24"/>
    <mergeCell ref="D19:D24"/>
    <mergeCell ref="E19:E20"/>
    <mergeCell ref="F19:F20"/>
    <mergeCell ref="K13:K15"/>
    <mergeCell ref="L13:L15"/>
    <mergeCell ref="M13:M15"/>
    <mergeCell ref="N13:N15"/>
    <mergeCell ref="O13:O15"/>
    <mergeCell ref="P13:P15"/>
    <mergeCell ref="AQ16:AQ18"/>
    <mergeCell ref="K16:K18"/>
    <mergeCell ref="L16:L18"/>
    <mergeCell ref="M16:M18"/>
    <mergeCell ref="N16:N18"/>
    <mergeCell ref="O16:O18"/>
    <mergeCell ref="P16:P18"/>
    <mergeCell ref="Q16:Q18"/>
    <mergeCell ref="R16:R18"/>
    <mergeCell ref="AI16:AI18"/>
    <mergeCell ref="AO16:AO18"/>
    <mergeCell ref="AP16:AP18"/>
    <mergeCell ref="Q11:Q12"/>
    <mergeCell ref="R11:R12"/>
    <mergeCell ref="AI11:AI12"/>
    <mergeCell ref="Q13:Q15"/>
    <mergeCell ref="R13:R15"/>
    <mergeCell ref="AI13:AI15"/>
    <mergeCell ref="AO13:AO15"/>
    <mergeCell ref="AP13:AP15"/>
    <mergeCell ref="AQ13:AQ15"/>
    <mergeCell ref="AO9:AO10"/>
    <mergeCell ref="AP9:AP10"/>
    <mergeCell ref="AQ9:AQ10"/>
    <mergeCell ref="E11:E12"/>
    <mergeCell ref="F11:F12"/>
    <mergeCell ref="G11:G12"/>
    <mergeCell ref="H11:H12"/>
    <mergeCell ref="I11:I12"/>
    <mergeCell ref="J11:J12"/>
    <mergeCell ref="M9:M10"/>
    <mergeCell ref="N9:N10"/>
    <mergeCell ref="O9:O10"/>
    <mergeCell ref="P9:P10"/>
    <mergeCell ref="Q9:Q10"/>
    <mergeCell ref="R9:R10"/>
    <mergeCell ref="G9:G10"/>
    <mergeCell ref="H9:H10"/>
    <mergeCell ref="I9:I10"/>
    <mergeCell ref="J9:J10"/>
    <mergeCell ref="K9:K10"/>
    <mergeCell ref="L9:L10"/>
    <mergeCell ref="AO11:AO12"/>
    <mergeCell ref="AP11:AP12"/>
    <mergeCell ref="AQ11:AQ12"/>
    <mergeCell ref="AL7:AL8"/>
    <mergeCell ref="S7:S8"/>
    <mergeCell ref="T7:T8"/>
    <mergeCell ref="U7:U8"/>
    <mergeCell ref="V7:AA7"/>
    <mergeCell ref="AB7:AB8"/>
    <mergeCell ref="AC7:AC8"/>
    <mergeCell ref="M7:M8"/>
    <mergeCell ref="N7:N8"/>
    <mergeCell ref="O7:O8"/>
    <mergeCell ref="P7:P8"/>
    <mergeCell ref="Q7:Q8"/>
    <mergeCell ref="R7:R8"/>
    <mergeCell ref="AI7:AI8"/>
    <mergeCell ref="A9:A18"/>
    <mergeCell ref="B9:B18"/>
    <mergeCell ref="C9:C18"/>
    <mergeCell ref="D9:D18"/>
    <mergeCell ref="E9:E10"/>
    <mergeCell ref="F9:F10"/>
    <mergeCell ref="AJ7:AJ8"/>
    <mergeCell ref="AK7:AK8"/>
    <mergeCell ref="G7:G8"/>
    <mergeCell ref="H7:H8"/>
    <mergeCell ref="I7:I8"/>
    <mergeCell ref="AI9:AI10"/>
    <mergeCell ref="K11:K12"/>
    <mergeCell ref="L11:L12"/>
    <mergeCell ref="M11:M12"/>
    <mergeCell ref="N11:N12"/>
    <mergeCell ref="O11:O12"/>
    <mergeCell ref="P11:P12"/>
    <mergeCell ref="E13:E15"/>
    <mergeCell ref="F13:F15"/>
    <mergeCell ref="G13:G15"/>
    <mergeCell ref="H13:H15"/>
    <mergeCell ref="I13:I15"/>
    <mergeCell ref="J13:J15"/>
    <mergeCell ref="A6:K6"/>
    <mergeCell ref="L6:R6"/>
    <mergeCell ref="S6:AA6"/>
    <mergeCell ref="AB6:AH6"/>
    <mergeCell ref="AI6:AN6"/>
    <mergeCell ref="AO6:AQ6"/>
    <mergeCell ref="AR6:AV7"/>
    <mergeCell ref="J7:J8"/>
    <mergeCell ref="K7:K8"/>
    <mergeCell ref="L7:L8"/>
    <mergeCell ref="A7:A8"/>
    <mergeCell ref="B7:B8"/>
    <mergeCell ref="C7:C8"/>
    <mergeCell ref="D7:D8"/>
    <mergeCell ref="E7:E8"/>
    <mergeCell ref="F7:F8"/>
    <mergeCell ref="AM7:AM8"/>
    <mergeCell ref="AN7:AN8"/>
    <mergeCell ref="AO7:AQ7"/>
    <mergeCell ref="AD7:AD8"/>
    <mergeCell ref="AE7:AE8"/>
    <mergeCell ref="AF7:AF8"/>
    <mergeCell ref="AG7:AG8"/>
    <mergeCell ref="AH7:AH8"/>
    <mergeCell ref="A1:H3"/>
    <mergeCell ref="I1:AQ3"/>
    <mergeCell ref="AR1:AV1"/>
    <mergeCell ref="AR2:AV2"/>
    <mergeCell ref="AR3:AV3"/>
    <mergeCell ref="A4:AV4"/>
    <mergeCell ref="A5:AH5"/>
    <mergeCell ref="AI5:AN5"/>
    <mergeCell ref="AO5:AV5"/>
  </mergeCells>
  <conditionalFormatting sqref="O9 O11 O16">
    <cfRule type="containsText" dxfId="64" priority="599" operator="containsText" text="❌">
      <formula>NOT(ISERROR(SEARCH("❌",O9)))</formula>
    </cfRule>
  </conditionalFormatting>
  <conditionalFormatting sqref="L9 L11 L16 L13 AC9:AC18">
    <cfRule type="cellIs" dxfId="63" priority="609" operator="equal">
      <formula>"Muy Alta"</formula>
    </cfRule>
    <cfRule type="cellIs" dxfId="62" priority="610" operator="equal">
      <formula>"Alta"</formula>
    </cfRule>
    <cfRule type="cellIs" dxfId="61" priority="611" operator="equal">
      <formula>"Media"</formula>
    </cfRule>
    <cfRule type="cellIs" dxfId="60" priority="612" operator="equal">
      <formula>"Baja"</formula>
    </cfRule>
    <cfRule type="cellIs" dxfId="59" priority="613" operator="equal">
      <formula>"Muy Baja"</formula>
    </cfRule>
  </conditionalFormatting>
  <conditionalFormatting sqref="P9 P11 P16 P13 AE9:AE18">
    <cfRule type="cellIs" dxfId="58" priority="604" operator="equal">
      <formula>"Catastrófico"</formula>
    </cfRule>
    <cfRule type="cellIs" dxfId="57" priority="605" operator="equal">
      <formula>"Mayor"</formula>
    </cfRule>
    <cfRule type="cellIs" dxfId="56" priority="606" operator="equal">
      <formula>"Moderado"</formula>
    </cfRule>
    <cfRule type="cellIs" dxfId="55" priority="607" operator="equal">
      <formula>"Menor"</formula>
    </cfRule>
    <cfRule type="cellIs" dxfId="54" priority="608" operator="equal">
      <formula>"Leve"</formula>
    </cfRule>
  </conditionalFormatting>
  <conditionalFormatting sqref="R9 R11 R16 R13 AG9:AG18">
    <cfRule type="cellIs" dxfId="53" priority="600" operator="equal">
      <formula>"Extremo"</formula>
    </cfRule>
    <cfRule type="cellIs" dxfId="52" priority="601" operator="equal">
      <formula>"Alto"</formula>
    </cfRule>
    <cfRule type="cellIs" dxfId="51" priority="602" operator="equal">
      <formula>"Moderado"</formula>
    </cfRule>
    <cfRule type="cellIs" dxfId="50" priority="603" operator="equal">
      <formula>"Bajo"</formula>
    </cfRule>
  </conditionalFormatting>
  <conditionalFormatting sqref="AC19:AC29">
    <cfRule type="cellIs" dxfId="49" priority="594" operator="equal">
      <formula>"Muy Alta"</formula>
    </cfRule>
    <cfRule type="cellIs" dxfId="48" priority="595" operator="equal">
      <formula>"Alta"</formula>
    </cfRule>
    <cfRule type="cellIs" dxfId="47" priority="596" operator="equal">
      <formula>"Media"</formula>
    </cfRule>
    <cfRule type="cellIs" dxfId="46" priority="597" operator="equal">
      <formula>"Baja"</formula>
    </cfRule>
    <cfRule type="cellIs" dxfId="45" priority="598" operator="equal">
      <formula>"Muy Baja"</formula>
    </cfRule>
  </conditionalFormatting>
  <conditionalFormatting sqref="AE19:AE29">
    <cfRule type="cellIs" dxfId="44" priority="589" operator="equal">
      <formula>"Catastrófico"</formula>
    </cfRule>
    <cfRule type="cellIs" dxfId="43" priority="590" operator="equal">
      <formula>"Mayor"</formula>
    </cfRule>
    <cfRule type="cellIs" dxfId="42" priority="591" operator="equal">
      <formula>"Moderado"</formula>
    </cfRule>
    <cfRule type="cellIs" dxfId="41" priority="592" operator="equal">
      <formula>"Menor"</formula>
    </cfRule>
    <cfRule type="cellIs" dxfId="40" priority="593" operator="equal">
      <formula>"Leve"</formula>
    </cfRule>
  </conditionalFormatting>
  <conditionalFormatting sqref="AG19:AG29">
    <cfRule type="cellIs" dxfId="39" priority="585" operator="equal">
      <formula>"Extremo"</formula>
    </cfRule>
    <cfRule type="cellIs" dxfId="38" priority="586" operator="equal">
      <formula>"Alto"</formula>
    </cfRule>
    <cfRule type="cellIs" dxfId="37" priority="587" operator="equal">
      <formula>"Moderado"</formula>
    </cfRule>
    <cfRule type="cellIs" dxfId="36" priority="588" operator="equal">
      <formula>"Bajo"</formula>
    </cfRule>
  </conditionalFormatting>
  <conditionalFormatting sqref="O21:O22">
    <cfRule type="containsText" dxfId="35" priority="584" operator="containsText" text="❌">
      <formula>NOT(ISERROR(SEARCH("❌",O21)))</formula>
    </cfRule>
  </conditionalFormatting>
  <conditionalFormatting sqref="L19 L21:L26 L28">
    <cfRule type="cellIs" dxfId="34" priority="579" operator="equal">
      <formula>"Muy Alta"</formula>
    </cfRule>
    <cfRule type="cellIs" dxfId="33" priority="580" operator="equal">
      <formula>"Alta"</formula>
    </cfRule>
    <cfRule type="cellIs" dxfId="32" priority="581" operator="equal">
      <formula>"Media"</formula>
    </cfRule>
    <cfRule type="cellIs" dxfId="31" priority="582" operator="equal">
      <formula>"Baja"</formula>
    </cfRule>
    <cfRule type="cellIs" dxfId="30" priority="583" operator="equal">
      <formula>"Muy Baja"</formula>
    </cfRule>
  </conditionalFormatting>
  <conditionalFormatting sqref="P19 P21:P23">
    <cfRule type="cellIs" dxfId="29" priority="574" operator="equal">
      <formula>"Catastrófico"</formula>
    </cfRule>
    <cfRule type="cellIs" dxfId="28" priority="575" operator="equal">
      <formula>"Mayor"</formula>
    </cfRule>
    <cfRule type="cellIs" dxfId="27" priority="576" operator="equal">
      <formula>"Moderado"</formula>
    </cfRule>
    <cfRule type="cellIs" dxfId="26" priority="577" operator="equal">
      <formula>"Menor"</formula>
    </cfRule>
    <cfRule type="cellIs" dxfId="25" priority="578" operator="equal">
      <formula>"Leve"</formula>
    </cfRule>
  </conditionalFormatting>
  <conditionalFormatting sqref="R19 R21:R23">
    <cfRule type="cellIs" dxfId="24" priority="570" operator="equal">
      <formula>"Extremo"</formula>
    </cfRule>
    <cfRule type="cellIs" dxfId="23" priority="571" operator="equal">
      <formula>"Alto"</formula>
    </cfRule>
    <cfRule type="cellIs" dxfId="22" priority="572" operator="equal">
      <formula>"Moderado"</formula>
    </cfRule>
    <cfRule type="cellIs" dxfId="21" priority="573" operator="equal">
      <formula>"Bajo"</formula>
    </cfRule>
  </conditionalFormatting>
  <conditionalFormatting sqref="P26 P28">
    <cfRule type="cellIs" dxfId="20" priority="565" operator="equal">
      <formula>"Catastrófico"</formula>
    </cfRule>
    <cfRule type="cellIs" dxfId="19" priority="566" operator="equal">
      <formula>"Mayor"</formula>
    </cfRule>
    <cfRule type="cellIs" dxfId="18" priority="567" operator="equal">
      <formula>"Moderado"</formula>
    </cfRule>
    <cfRule type="cellIs" dxfId="17" priority="568" operator="equal">
      <formula>"Menor"</formula>
    </cfRule>
    <cfRule type="cellIs" dxfId="16" priority="569" operator="equal">
      <formula>"Leve"</formula>
    </cfRule>
  </conditionalFormatting>
  <conditionalFormatting sqref="R24:R26 R28">
    <cfRule type="cellIs" dxfId="15" priority="561" operator="equal">
      <formula>"Extremo"</formula>
    </cfRule>
    <cfRule type="cellIs" dxfId="14" priority="562" operator="equal">
      <formula>"Alto"</formula>
    </cfRule>
    <cfRule type="cellIs" dxfId="13" priority="563" operator="equal">
      <formula>"Moderado"</formula>
    </cfRule>
    <cfRule type="cellIs" dxfId="12" priority="564" operator="equal">
      <formula>"Bajo"</formula>
    </cfRule>
  </conditionalFormatting>
  <conditionalFormatting sqref="O24:O26 O28">
    <cfRule type="containsText" dxfId="11" priority="560" operator="containsText" text="❌">
      <formula>NOT(ISERROR(SEARCH("❌",O24)))</formula>
    </cfRule>
  </conditionalFormatting>
  <conditionalFormatting sqref="P24">
    <cfRule type="cellIs" dxfId="10" priority="555" operator="equal">
      <formula>"Catastrófico"</formula>
    </cfRule>
    <cfRule type="cellIs" dxfId="9" priority="556" operator="equal">
      <formula>"Mayor"</formula>
    </cfRule>
    <cfRule type="cellIs" dxfId="8" priority="557" operator="equal">
      <formula>"Moderado"</formula>
    </cfRule>
    <cfRule type="cellIs" dxfId="7" priority="558" operator="equal">
      <formula>"Menor"</formula>
    </cfRule>
    <cfRule type="cellIs" dxfId="6" priority="559" operator="equal">
      <formula>"Leve"</formula>
    </cfRule>
  </conditionalFormatting>
  <conditionalFormatting sqref="P25">
    <cfRule type="cellIs" dxfId="5" priority="550" operator="equal">
      <formula>"Catastrófico"</formula>
    </cfRule>
    <cfRule type="cellIs" dxfId="4" priority="551" operator="equal">
      <formula>"Mayor"</formula>
    </cfRule>
    <cfRule type="cellIs" dxfId="3" priority="552" operator="equal">
      <formula>"Moderado"</formula>
    </cfRule>
    <cfRule type="cellIs" dxfId="2" priority="553" operator="equal">
      <formula>"Menor"</formula>
    </cfRule>
    <cfRule type="cellIs" dxfId="1" priority="554" operator="equal">
      <formula>"Leve"</formula>
    </cfRule>
  </conditionalFormatting>
  <conditionalFormatting sqref="O13">
    <cfRule type="containsText" dxfId="0" priority="2" operator="containsText" text="❌">
      <formula>NOT(ISERROR(SEARCH("❌",O13)))</formula>
    </cfRule>
  </conditionalFormatting>
  <dataValidations count="1">
    <dataValidation type="list" allowBlank="1" showInputMessage="1" showErrorMessage="1" sqref="J24 J18:J19" xr:uid="{AF6960F6-BDCB-4CCC-8A32-9007EFEBB3F4}">
      <formula1>#REF!</formula1>
    </dataValidation>
  </dataValidations>
  <pageMargins left="0.70866141732283472" right="0.70866141732283472" top="0.74803149606299213" bottom="0.74803149606299213" header="0.31496062992125984" footer="0.31496062992125984"/>
  <pageSetup scale="16" fitToHeight="0" orientation="landscape" r:id="rId1"/>
  <colBreaks count="1" manualBreakCount="1">
    <brk id="48" max="1048575" man="1"/>
  </colBreaks>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AE40922F-4A61-4AD9-BFC1-37890793F122}">
          <x14:formula1>
            <xm:f>'[1.Matriz Riesgos Direccion Finanzas y Presupuesto.xlsx]Opciones Tratamiento'!#REF!</xm:f>
          </x14:formula1>
          <xm:sqref>AN9:AN18 AH9:AH18</xm:sqref>
        </x14:dataValidation>
        <x14:dataValidation type="custom" allowBlank="1" showInputMessage="1" showErrorMessage="1" error="Recuerde que las acciones se generan bajo la medida de mitigar el riesgo" xr:uid="{7E18895E-4EF5-4156-A2A8-A5F4FD0884EA}">
          <x14:formula1>
            <xm:f>IF(OR(AH9='[1.Matriz Riesgos Direccion Finanzas y Presupuesto.xlsx]Opciones Tratamiento'!#REF!,AH9='[1.Matriz Riesgos Direccion Finanzas y Presupuesto.xlsx]Opciones Tratamiento'!#REF!,AH9='[1.Matriz Riesgos Direccion Finanzas y Presupuesto.xlsx]Opciones Tratamiento'!#REF!),ISBLANK(AH9),ISTEXT(AH9))</xm:f>
          </x14:formula1>
          <xm:sqref>AM9 AM16:AM17 AM11 AM13:AM14</xm:sqref>
        </x14:dataValidation>
        <x14:dataValidation type="list" allowBlank="1" showInputMessage="1" showErrorMessage="1" xr:uid="{649B3B4C-CF44-4535-880B-F91C42F1FC32}">
          <x14:formula1>
            <xm:f>'[1.Matriz Riesgos Direccion Finanzas y Presupuesto.xlsx]Tabla Valoración controles'!#REF!</xm:f>
          </x14:formula1>
          <xm:sqref>V9:W10</xm:sqref>
        </x14:dataValidation>
        <x14:dataValidation type="list" allowBlank="1" showInputMessage="1" showErrorMessage="1" xr:uid="{6D98D000-2CF8-4EC8-AF83-5C35364C99D5}">
          <x14:formula1>
            <xm:f>'[1.Matriz Riesgos Direccion Finanzas y Presupuesto.xlsx]Hoja4'!#REF!</xm:f>
          </x14:formula1>
          <xm:sqref>J9:J12 J16:J17</xm:sqref>
        </x14:dataValidation>
        <x14:dataValidation type="list" allowBlank="1" showInputMessage="1" showErrorMessage="1" xr:uid="{3B03D77E-7E2F-4C6C-8C62-70671B6E925C}">
          <x14:formula1>
            <xm:f>'/Users/karenmora/Downloads/CARGUE EN RED FINANZAS/INFORMES/GERENCIA/C:/Users/acer/AppData/Local/Microsoft/Windows/INetCache/Content.Outlook/EPEAMTLO/[Mapa de Riesgos de Gestion y de Seguridad de la Informacion-Tesoreria.xlsx]Opciones Tratamiento'!#REF!</xm:f>
          </x14:formula1>
          <xm:sqref>AN25:AN29</xm:sqref>
        </x14:dataValidation>
        <x14:dataValidation type="custom" allowBlank="1" showInputMessage="1" showErrorMessage="1" error="Recuerde que las acciones se generan bajo la medida de mitigar el riesgo" xr:uid="{C40BF78F-804D-4F51-A2B9-54DF36C0B0F2}">
          <x14:formula1>
            <xm:f>IF(OR(AH25='/Users/karenmora/Downloads/CARGUE EN RED FINANZAS/INFORMES/GERENCIA/C:/Users/acer/AppData/Local/Microsoft/Windows/INetCache/Content.Outlook/EPEAMTLO/[Mapa de Riesgos de Gestion y de Seguridad de la Informacion-Tesoreria.xlsx]Opciones Tratamiento'!#REF!,AH25='/Users/karenmora/Downloads/CARGUE EN RED FINANZAS/INFORMES/GERENCIA/C:/Users/acer/AppData/Local/Microsoft/Windows/INetCache/Content.Outlook/EPEAMTLO/[Mapa de Riesgos de Gestion y de Seguridad de la Informacion-Tesoreria.xlsx]Opciones Tratamiento'!#REF!,AH25='/Users/karenmora/Downloads/CARGUE EN RED FINANZAS/INFORMES/GERENCIA/C:/Users/acer/AppData/Local/Microsoft/Windows/INetCache/Content.Outlook/EPEAMTLO/[Mapa de Riesgos de Gestion y de Seguridad de la Informacion-Tesoreria.xlsx]Opciones Tratamiento'!#REF!),ISBLANK(AH25),ISTEXT(AH25))</xm:f>
          </x14:formula1>
          <xm:sqref>AM25</xm:sqref>
        </x14:dataValidation>
        <x14:dataValidation type="list" allowBlank="1" showInputMessage="1" showErrorMessage="1" xr:uid="{E5AFDE6E-B93B-4AC3-BF9E-B9BAC0A86AD7}">
          <x14:formula1>
            <xm:f>'/Users/karenmora/Downloads/CARGUE EN RED FINANZAS/INFORMES/GERENCIA/C:/Users/acer/AppData/Local/Microsoft/Windows/INetCache/Content.Outlook/EPEAMTLO/[Mapa de Riesgos de Gestion y de Seguridad de la Informacion-Tesoreria.xlsx]Tabla Valoración controles'!#REF!</xm:f>
          </x14:formula1>
          <xm:sqref>Y25:AA29</xm:sqref>
        </x14:dataValidation>
        <x14:dataValidation type="list" allowBlank="1" showInputMessage="1" showErrorMessage="1" xr:uid="{649762FF-1E07-4390-BCF8-32257EB33865}">
          <x14:formula1>
            <xm:f>'/Users/karenmora/Downloads/CARGUE EN RED FINANZAS/INFORMES/GERENCIA/C:/Users/acer/AppData/Local/Microsoft/Windows/INetCache/Content.Outlook/EPEAMTLO/[Mapa de Riesgos de Gestion y de Seguridad de la Informacion-Tesoreria.xlsx]Hoja4'!#REF!</xm:f>
          </x14:formula1>
          <xm:sqref>J25:J29</xm:sqref>
        </x14:dataValidation>
        <x14:dataValidation type="list" allowBlank="1" showInputMessage="1" showErrorMessage="1" xr:uid="{38815A62-C307-4BF1-B343-F072ACD31E90}">
          <x14:formula1>
            <xm:f>Hoja2!$B$3:$B$22</xm:f>
          </x14:formula1>
          <xm:sqref>D9 D25</xm:sqref>
        </x14:dataValidation>
        <x14:dataValidation type="list" allowBlank="1" showInputMessage="1" showErrorMessage="1" xr:uid="{C93EE4CC-4C62-4FA2-A566-16E2F1C71EA5}">
          <x14:formula1>
            <xm:f>'Tabla Impacto'!$F$210:$F$221</xm:f>
          </x14:formula1>
          <xm:sqref>N13 N21 N9 N28 N19 N11 N16 N26</xm:sqref>
        </x14:dataValidation>
        <x14:dataValidation type="list" allowBlank="1" showInputMessage="1" showErrorMessage="1" xr:uid="{49A55BDB-A9F6-4C83-ADC4-F34CD3BC340A}">
          <x14:formula1>
            <xm:f>'Tabla Valoración controles'!$D$7:$D$8</xm:f>
          </x14:formula1>
          <xm:sqref>W27:W29 W11:W18</xm:sqref>
        </x14:dataValidation>
        <x14:dataValidation type="list" allowBlank="1" showInputMessage="1" showErrorMessage="1" xr:uid="{A977EAD1-CCF2-40C4-A1D3-36EA53F35B5D}">
          <x14:formula1>
            <xm:f>'Tabla Valoración controles'!$D$4:$D$6</xm:f>
          </x14:formula1>
          <xm:sqref>V11:V29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E19"/>
  <sheetViews>
    <sheetView topLeftCell="A4" workbookViewId="0">
      <selection activeCell="B13" sqref="B13:B19"/>
    </sheetView>
  </sheetViews>
  <sheetFormatPr baseColWidth="10" defaultColWidth="11.42578125" defaultRowHeight="15" x14ac:dyDescent="0.25"/>
  <sheetData>
    <row r="2" spans="2:5" x14ac:dyDescent="0.25">
      <c r="B2" t="s">
        <v>533</v>
      </c>
      <c r="E2" t="s">
        <v>147</v>
      </c>
    </row>
    <row r="3" spans="2:5" x14ac:dyDescent="0.25">
      <c r="B3" t="s">
        <v>296</v>
      </c>
      <c r="E3" t="s">
        <v>172</v>
      </c>
    </row>
    <row r="4" spans="2:5" x14ac:dyDescent="0.25">
      <c r="B4" t="s">
        <v>534</v>
      </c>
      <c r="E4" t="s">
        <v>223</v>
      </c>
    </row>
    <row r="5" spans="2:5" x14ac:dyDescent="0.25">
      <c r="B5" t="s">
        <v>160</v>
      </c>
    </row>
    <row r="8" spans="2:5" x14ac:dyDescent="0.25">
      <c r="B8" t="s">
        <v>535</v>
      </c>
    </row>
    <row r="9" spans="2:5" x14ac:dyDescent="0.25">
      <c r="B9" t="s">
        <v>443</v>
      </c>
    </row>
    <row r="10" spans="2:5" x14ac:dyDescent="0.25">
      <c r="B10" t="s">
        <v>165</v>
      </c>
    </row>
    <row r="13" spans="2:5" x14ac:dyDescent="0.25">
      <c r="B13" t="s">
        <v>536</v>
      </c>
    </row>
    <row r="14" spans="2:5" x14ac:dyDescent="0.25">
      <c r="B14" t="s">
        <v>370</v>
      </c>
    </row>
    <row r="15" spans="2:5" x14ac:dyDescent="0.25">
      <c r="B15" t="s">
        <v>537</v>
      </c>
    </row>
    <row r="16" spans="2:5" x14ac:dyDescent="0.25">
      <c r="B16" t="s">
        <v>345</v>
      </c>
    </row>
    <row r="17" spans="2:2" x14ac:dyDescent="0.25">
      <c r="B17" t="s">
        <v>440</v>
      </c>
    </row>
    <row r="18" spans="2:2" x14ac:dyDescent="0.25">
      <c r="B18" t="s">
        <v>447</v>
      </c>
    </row>
    <row r="19" spans="2:2" x14ac:dyDescent="0.25">
      <c r="B19" t="s">
        <v>226</v>
      </c>
    </row>
  </sheetData>
  <sortState xmlns:xlrd2="http://schemas.microsoft.com/office/spreadsheetml/2017/richdata2" ref="B2:B5">
    <sortCondition ref="B2:B5"/>
  </sortState>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A21"/>
  <sheetViews>
    <sheetView workbookViewId="0">
      <selection activeCell="A19" sqref="A19"/>
    </sheetView>
  </sheetViews>
  <sheetFormatPr baseColWidth="10" defaultColWidth="11.42578125" defaultRowHeight="12.75" x14ac:dyDescent="0.2"/>
  <cols>
    <col min="1" max="1" width="32.85546875" style="8" customWidth="1"/>
    <col min="2" max="16384" width="11.42578125" style="8"/>
  </cols>
  <sheetData>
    <row r="3" spans="1:1" x14ac:dyDescent="0.2">
      <c r="A3" s="9" t="s">
        <v>155</v>
      </c>
    </row>
    <row r="4" spans="1:1" x14ac:dyDescent="0.2">
      <c r="A4" s="9" t="s">
        <v>169</v>
      </c>
    </row>
    <row r="5" spans="1:1" x14ac:dyDescent="0.2">
      <c r="A5" s="9" t="s">
        <v>211</v>
      </c>
    </row>
    <row r="6" spans="1:1" x14ac:dyDescent="0.2">
      <c r="A6" s="9" t="s">
        <v>295</v>
      </c>
    </row>
    <row r="7" spans="1:1" x14ac:dyDescent="0.2">
      <c r="A7" s="9" t="s">
        <v>156</v>
      </c>
    </row>
    <row r="8" spans="1:1" x14ac:dyDescent="0.2">
      <c r="A8" s="9" t="s">
        <v>157</v>
      </c>
    </row>
    <row r="9" spans="1:1" x14ac:dyDescent="0.2">
      <c r="A9" s="9" t="s">
        <v>178</v>
      </c>
    </row>
    <row r="10" spans="1:1" x14ac:dyDescent="0.2">
      <c r="A10" s="9" t="s">
        <v>158</v>
      </c>
    </row>
    <row r="11" spans="1:1" x14ac:dyDescent="0.2">
      <c r="A11" s="9" t="s">
        <v>204</v>
      </c>
    </row>
    <row r="12" spans="1:1" x14ac:dyDescent="0.2">
      <c r="A12" s="9" t="s">
        <v>538</v>
      </c>
    </row>
    <row r="13" spans="1:1" x14ac:dyDescent="0.2">
      <c r="A13" s="9" t="s">
        <v>539</v>
      </c>
    </row>
    <row r="14" spans="1:1" x14ac:dyDescent="0.2">
      <c r="A14" s="9" t="s">
        <v>540</v>
      </c>
    </row>
    <row r="16" spans="1:1" x14ac:dyDescent="0.2">
      <c r="A16" s="9" t="s">
        <v>541</v>
      </c>
    </row>
    <row r="17" spans="1:1" x14ac:dyDescent="0.2">
      <c r="A17" s="9" t="s">
        <v>533</v>
      </c>
    </row>
    <row r="18" spans="1:1" x14ac:dyDescent="0.2">
      <c r="A18" s="9" t="s">
        <v>296</v>
      </c>
    </row>
    <row r="20" spans="1:1" x14ac:dyDescent="0.2">
      <c r="A20" s="9" t="s">
        <v>443</v>
      </c>
    </row>
    <row r="21" spans="1:1" x14ac:dyDescent="0.2">
      <c r="A21" s="9"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6</vt:i4>
      </vt:variant>
    </vt:vector>
  </HeadingPairs>
  <TitlesOfParts>
    <vt:vector size="20" baseType="lpstr">
      <vt:lpstr>Hoja2</vt:lpstr>
      <vt:lpstr>Intructivo</vt:lpstr>
      <vt:lpstr>Mapa final</vt:lpstr>
      <vt:lpstr>Hoja4</vt:lpstr>
      <vt:lpstr>Clasificacion riesgo</vt:lpstr>
      <vt:lpstr>Matriz Calor Inherente</vt:lpstr>
      <vt:lpstr>Matriz Calor Residual</vt:lpstr>
      <vt:lpstr>Tabla probabilidad</vt:lpstr>
      <vt:lpstr>Tabla Impacto</vt:lpstr>
      <vt:lpstr>Tabla Valoración controles</vt:lpstr>
      <vt:lpstr>Mapa final (3)</vt:lpstr>
      <vt:lpstr>Mapa final (2)</vt:lpstr>
      <vt:lpstr>Opciones Tratamiento</vt:lpstr>
      <vt:lpstr>Hoja1</vt:lpstr>
      <vt:lpstr>'Mapa final'!Área_de_impresión</vt:lpstr>
      <vt:lpstr>'Mapa final (2)'!Área_de_impresión</vt:lpstr>
      <vt:lpstr>'Mapa final (3)'!Área_de_impresión</vt:lpstr>
      <vt:lpstr>'Mapa final'!Títulos_a_imprimir</vt:lpstr>
      <vt:lpstr>'Mapa final (2)'!Títulos_a_imprimir</vt:lpstr>
      <vt:lpstr>'Mapa final (3)'!Títulos_a_imprimir</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Luisa Fernanda Gonzalez Garzon</cp:lastModifiedBy>
  <cp:revision/>
  <cp:lastPrinted>2022-11-15T20:09:25Z</cp:lastPrinted>
  <dcterms:created xsi:type="dcterms:W3CDTF">2020-03-24T23:12:47Z</dcterms:created>
  <dcterms:modified xsi:type="dcterms:W3CDTF">2022-12-19T21:17:19Z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2022-11-03T21:58:08Z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aba07c96-9f34-446e-a623-3b35cdf28e81</vt:lpwstr>
  </property>
  <property fmtid="{D5CDD505-2E9C-101B-9397-08002B2CF9AE}" pid="7" name="MSIP_Label_defa4170-0d19-0005-0004-bc88714345d2_ActionId">
    <vt:lpwstr>2c3231e7-b875-4166-9b74-1d1cccab07ff</vt:lpwstr>
  </property>
  <property fmtid="{D5CDD505-2E9C-101B-9397-08002B2CF9AE}" pid="8" name="MSIP_Label_defa4170-0d19-0005-0004-bc88714345d2_ContentBits">
    <vt:lpwstr>0</vt:lpwstr>
  </property>
</Properties>
</file>